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9B54A960-921E-42D4-A782-06311098A4FF}" xr6:coauthVersionLast="47" xr6:coauthVersionMax="47" xr10:uidLastSave="{00000000-0000-0000-0000-000000000000}"/>
  <bookViews>
    <workbookView xWindow="-120" yWindow="-120" windowWidth="29040" windowHeight="15840" xr2:uid="{B85FD787-5C6F-49FB-953A-72BE06B9F9E0}"/>
  </bookViews>
  <sheets>
    <sheet name="Main" sheetId="1" r:id="rId1"/>
    <sheet name="Sewer" sheetId="2" r:id="rId2"/>
    <sheet name="Garbage" sheetId="4" r:id="rId3"/>
    <sheet name="Storm Water" sheetId="5" r:id="rId4"/>
    <sheet name="StreetLights" sheetId="3" r:id="rId5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34" i="1" l="1"/>
  <c r="N34" i="1"/>
  <c r="M34" i="1"/>
  <c r="L34" i="1"/>
  <c r="K34" i="1"/>
  <c r="H34" i="1"/>
  <c r="J34" i="1"/>
  <c r="J21" i="1"/>
  <c r="H8" i="5" l="1"/>
  <c r="H7" i="5"/>
  <c r="I7" i="5" s="1"/>
  <c r="H6" i="5"/>
  <c r="H5" i="5"/>
  <c r="H4" i="5"/>
  <c r="I4" i="5" s="1"/>
  <c r="H3" i="5"/>
  <c r="I3" i="5" s="1"/>
  <c r="H2" i="5"/>
  <c r="I2" i="5"/>
  <c r="N2" i="3"/>
  <c r="M2" i="3"/>
  <c r="I5" i="5"/>
  <c r="I6" i="5"/>
  <c r="I8" i="5"/>
  <c r="M5" i="4"/>
  <c r="M4" i="4"/>
  <c r="H3" i="2"/>
  <c r="H4" i="2"/>
  <c r="H5" i="2"/>
  <c r="H6" i="2"/>
  <c r="H7" i="2"/>
  <c r="H8" i="2"/>
  <c r="H9" i="2"/>
  <c r="H2" i="2"/>
  <c r="N3" i="3"/>
  <c r="M3" i="3"/>
  <c r="E6" i="1"/>
  <c r="K6" i="4"/>
  <c r="L6" i="4"/>
  <c r="L5" i="4"/>
  <c r="L4" i="4"/>
  <c r="K2" i="4"/>
  <c r="K3" i="4"/>
  <c r="G11" i="2"/>
  <c r="G9" i="2"/>
  <c r="G8" i="2"/>
  <c r="G6" i="2"/>
  <c r="G4" i="2"/>
  <c r="G3" i="2"/>
  <c r="G2" i="2"/>
  <c r="G5" i="2"/>
  <c r="D10" i="2"/>
  <c r="H4" i="1"/>
  <c r="C29" i="1"/>
  <c r="C27" i="1"/>
  <c r="C26" i="1"/>
  <c r="C25" i="1"/>
  <c r="C24" i="1"/>
  <c r="E24" i="5" l="1"/>
  <c r="D24" i="5"/>
  <c r="E23" i="5"/>
  <c r="E21" i="5"/>
  <c r="E19" i="5"/>
  <c r="E20" i="5"/>
  <c r="E17" i="5"/>
  <c r="E16" i="5"/>
  <c r="E15" i="5"/>
  <c r="E32" i="4"/>
  <c r="D32" i="4"/>
  <c r="E23" i="4"/>
  <c r="E24" i="4"/>
  <c r="E18" i="2"/>
  <c r="E20" i="2"/>
  <c r="D20" i="2"/>
  <c r="E16" i="2"/>
  <c r="E14" i="2"/>
  <c r="E11" i="3"/>
  <c r="E10" i="3"/>
  <c r="E15" i="3"/>
  <c r="D15" i="3"/>
  <c r="J15" i="3"/>
  <c r="J6" i="3"/>
  <c r="O18" i="1" l="1"/>
  <c r="K18" i="1"/>
  <c r="N18" i="1"/>
  <c r="M18" i="1"/>
  <c r="L18" i="1"/>
  <c r="J18" i="1"/>
  <c r="C28" i="1" l="1"/>
  <c r="C23" i="1"/>
  <c r="C33" i="1"/>
  <c r="C32" i="1"/>
  <c r="C22" i="1"/>
  <c r="C30" i="1"/>
  <c r="C21" i="1"/>
  <c r="E19" i="4"/>
  <c r="D18" i="1"/>
  <c r="G18" i="1"/>
  <c r="J19" i="1" s="1"/>
  <c r="B18" i="1"/>
  <c r="C18" i="1"/>
  <c r="E12" i="4"/>
  <c r="E13" i="4"/>
  <c r="E14" i="4"/>
  <c r="E15" i="4"/>
  <c r="E16" i="4"/>
  <c r="E17" i="4"/>
  <c r="E11" i="4"/>
  <c r="E6" i="4"/>
  <c r="D6" i="4"/>
  <c r="F5" i="4"/>
  <c r="F4" i="4"/>
  <c r="B22" i="1"/>
  <c r="B23" i="1"/>
  <c r="B24" i="1"/>
  <c r="B25" i="1"/>
  <c r="B26" i="1"/>
  <c r="B27" i="1"/>
  <c r="B28" i="1"/>
  <c r="B29" i="1"/>
  <c r="B30" i="1"/>
  <c r="B32" i="1"/>
  <c r="B33" i="1"/>
  <c r="B21" i="1"/>
  <c r="E15" i="1"/>
  <c r="D4" i="3"/>
  <c r="E4" i="3"/>
  <c r="E3" i="3"/>
  <c r="I21" i="3"/>
  <c r="C4" i="3"/>
  <c r="E2" i="3"/>
  <c r="D9" i="5"/>
  <c r="C9" i="5"/>
  <c r="E8" i="5"/>
  <c r="E7" i="5"/>
  <c r="E6" i="5"/>
  <c r="E5" i="5"/>
  <c r="E4" i="5"/>
  <c r="E3" i="5"/>
  <c r="E2" i="5"/>
  <c r="E5" i="1"/>
  <c r="E13" i="1"/>
  <c r="E4" i="1"/>
  <c r="D9" i="2"/>
  <c r="E9" i="2"/>
  <c r="C9" i="2"/>
  <c r="E2" i="2"/>
  <c r="E3" i="2"/>
  <c r="E4" i="2"/>
  <c r="E5" i="2"/>
  <c r="E6" i="2"/>
  <c r="E7" i="2"/>
  <c r="E8" i="2"/>
  <c r="M19" i="1" l="1"/>
  <c r="O19" i="1"/>
  <c r="N19" i="1"/>
  <c r="D23" i="1"/>
  <c r="K19" i="1"/>
  <c r="L19" i="1"/>
  <c r="D32" i="1"/>
  <c r="A36" i="1"/>
  <c r="E18" i="1"/>
  <c r="F6" i="4"/>
  <c r="E9" i="5"/>
</calcChain>
</file>

<file path=xl/sharedStrings.xml><?xml version="1.0" encoding="utf-8"?>
<sst xmlns="http://schemas.openxmlformats.org/spreadsheetml/2006/main" count="232" uniqueCount="127">
  <si>
    <t>Sewer</t>
  </si>
  <si>
    <t>Central Weber Sewer</t>
  </si>
  <si>
    <t>Garbage 2nd Can</t>
  </si>
  <si>
    <t>Garbage 3rd Can</t>
  </si>
  <si>
    <t>Garbage 4th Can</t>
  </si>
  <si>
    <t>Garbage 5th Can</t>
  </si>
  <si>
    <t>Recycle Can 1st</t>
  </si>
  <si>
    <t>Garbage Can 1st</t>
  </si>
  <si>
    <t>Recycle 2nd can</t>
  </si>
  <si>
    <t>Street Lights</t>
  </si>
  <si>
    <t>Recommending</t>
  </si>
  <si>
    <t>Spending</t>
  </si>
  <si>
    <t>Storm Water</t>
  </si>
  <si>
    <t xml:space="preserve"> </t>
  </si>
  <si>
    <t>Residential</t>
  </si>
  <si>
    <t>Commercial</t>
  </si>
  <si>
    <t>GL</t>
  </si>
  <si>
    <t>Name</t>
  </si>
  <si>
    <t>Budgeted</t>
  </si>
  <si>
    <t>Spent</t>
  </si>
  <si>
    <t>50-62-110</t>
  </si>
  <si>
    <t>50-62-200</t>
  </si>
  <si>
    <t>50-62-310</t>
  </si>
  <si>
    <t>50-62-460</t>
  </si>
  <si>
    <t>Comments</t>
  </si>
  <si>
    <t>Benefits</t>
  </si>
  <si>
    <t>Wages</t>
  </si>
  <si>
    <t>Sewer Billing Service Charge</t>
  </si>
  <si>
    <t>Sewage Treatment</t>
  </si>
  <si>
    <t>Sewer System Maintenance</t>
  </si>
  <si>
    <t>50-62-750</t>
  </si>
  <si>
    <t>50-62-850</t>
  </si>
  <si>
    <t>50-62-900</t>
  </si>
  <si>
    <t>Internal Inspection</t>
  </si>
  <si>
    <t>Depreciation</t>
  </si>
  <si>
    <t>Over/Under</t>
  </si>
  <si>
    <t>Totals</t>
  </si>
  <si>
    <t>Current fees</t>
  </si>
  <si>
    <t>Amount receiving</t>
  </si>
  <si>
    <t>53-62-110</t>
  </si>
  <si>
    <t>53-62-200</t>
  </si>
  <si>
    <t>53-62-310</t>
  </si>
  <si>
    <t>Storm water Billing Service Charge</t>
  </si>
  <si>
    <t>53-62-500</t>
  </si>
  <si>
    <t>Motor Pool Payments</t>
  </si>
  <si>
    <t>53-62-600</t>
  </si>
  <si>
    <t>Storm Water Management</t>
  </si>
  <si>
    <t>53-62-860</t>
  </si>
  <si>
    <t>Expansion</t>
  </si>
  <si>
    <t>53-62-900</t>
  </si>
  <si>
    <t>54-62-460</t>
  </si>
  <si>
    <t>Street Light</t>
  </si>
  <si>
    <t>10-45-410</t>
  </si>
  <si>
    <t>Utilities - street lights only</t>
  </si>
  <si>
    <t>60-30-710</t>
  </si>
  <si>
    <t>60-30-725</t>
  </si>
  <si>
    <t>60-52-310</t>
  </si>
  <si>
    <t>60-52-440</t>
  </si>
  <si>
    <t>Garbage/Recycle Charges</t>
  </si>
  <si>
    <t>Garbage Billing Charge</t>
  </si>
  <si>
    <t>*Recycle Service fees</t>
  </si>
  <si>
    <t>*Garbage Service Fees</t>
  </si>
  <si>
    <r>
      <t xml:space="preserve">Currently coming out of the General Fund     </t>
    </r>
    <r>
      <rPr>
        <i/>
        <sz val="14"/>
        <color theme="1"/>
        <rFont val="Calibri"/>
        <family val="2"/>
        <scheme val="minor"/>
      </rPr>
      <t>**goal to have utilities maintain themselves**</t>
    </r>
  </si>
  <si>
    <t># 1st cans</t>
  </si>
  <si>
    <t>2nd cans</t>
  </si>
  <si>
    <t>3rd cans</t>
  </si>
  <si>
    <t>4th cans</t>
  </si>
  <si>
    <t>5th cans</t>
  </si>
  <si>
    <t>Recycle</t>
  </si>
  <si>
    <t>1st cans</t>
  </si>
  <si>
    <t>Increase amount a month</t>
  </si>
  <si>
    <t>Average Home will go up a month</t>
  </si>
  <si>
    <t>Garbage</t>
  </si>
  <si>
    <t>Revenue coming in</t>
  </si>
  <si>
    <t>pulled from General Fund</t>
  </si>
  <si>
    <t>Grand Totals</t>
  </si>
  <si>
    <t>North Ogden</t>
  </si>
  <si>
    <t>West Haven</t>
  </si>
  <si>
    <t>Riverdale</t>
  </si>
  <si>
    <t>Roy</t>
  </si>
  <si>
    <t>Difference</t>
  </si>
  <si>
    <t>-</t>
  </si>
  <si>
    <t>Washington Terrace</t>
  </si>
  <si>
    <t>Pleasant View</t>
  </si>
  <si>
    <t>Combines Sewer w/Central Weber</t>
  </si>
  <si>
    <t xml:space="preserve">Variables </t>
  </si>
  <si>
    <t>*HOAs</t>
  </si>
  <si>
    <t>Based on per ERU</t>
  </si>
  <si>
    <t>Other Cities - only residential portions</t>
  </si>
  <si>
    <t>Reoccuring Billings</t>
  </si>
  <si>
    <t>Quarterly</t>
  </si>
  <si>
    <t>Monthly</t>
  </si>
  <si>
    <t>Waste Management</t>
  </si>
  <si>
    <t>Time frame</t>
  </si>
  <si>
    <t>Average amount</t>
  </si>
  <si>
    <t>Rocky Mountain Power</t>
  </si>
  <si>
    <t>Yearly</t>
  </si>
  <si>
    <t>Not including any maintenance</t>
  </si>
  <si>
    <t>Rocky Mountain Power Billing amounts</t>
  </si>
  <si>
    <t>**Increasing every year</t>
  </si>
  <si>
    <t>Is paid to Central Weber Sewer going up $440,000 a year    **one more payment coming this year</t>
  </si>
  <si>
    <t>Capital Facility Plan</t>
  </si>
  <si>
    <t>Bona Vista</t>
  </si>
  <si>
    <t>Maintenance/cleaning - Pro Pipe</t>
  </si>
  <si>
    <t>Depreciation expense</t>
  </si>
  <si>
    <t>Only as of middle of May 2022</t>
  </si>
  <si>
    <t>Getting paid $29,921.14 average a month from Bona Vista</t>
  </si>
  <si>
    <t>Motor Pool Payment</t>
  </si>
  <si>
    <t>Intermountain Farmers</t>
  </si>
  <si>
    <t>APWA Utah Chapter</t>
  </si>
  <si>
    <t>Upper Case</t>
  </si>
  <si>
    <t>Freedom Mailings</t>
  </si>
  <si>
    <t>Average</t>
  </si>
  <si>
    <t>Jones &amp; Associates</t>
  </si>
  <si>
    <t>Various items</t>
  </si>
  <si>
    <t>Record estimated depreciation</t>
  </si>
  <si>
    <t>*pump stations</t>
  </si>
  <si>
    <t>*Bona Vista Paid us</t>
  </si>
  <si>
    <t>Projected by the end of Budget</t>
  </si>
  <si>
    <t>Before</t>
  </si>
  <si>
    <t>Harrisville</t>
  </si>
  <si>
    <t>Current Average Home without water</t>
  </si>
  <si>
    <t>Washinton Terrace</t>
  </si>
  <si>
    <t>***Sales Tax</t>
  </si>
  <si>
    <t>Riverdale ***</t>
  </si>
  <si>
    <t>West Haven ***</t>
  </si>
  <si>
    <t>***Next year going up to $450,000.00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</si>
</sst>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0" xfId="1"/>
    <xf numFmtId="164" fontId="0" fillId="2" borderId="0" xfId="0" applyNumberFormat="1" applyFill="1" applyAlignment="1">
      <alignment horizontal="center" vertical="center"/>
    </xf>
    <xf numFmtId="164" fontId="0" fillId="2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5" xfId="0" applyBorder="1"/>
    <xf numFmtId="164" fontId="0" fillId="0" borderId="4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6" fillId="0" borderId="0" xfId="0" applyFon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4" fontId="7" fillId="0" borderId="4" xfId="0" applyNumberFormat="1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0" fillId="0" borderId="9" xfId="0" applyBorder="1"/>
    <xf numFmtId="164" fontId="0" fillId="0" borderId="9" xfId="0" applyNumberFormat="1" applyBorder="1"/>
    <xf numFmtId="0" fontId="7" fillId="0" borderId="0" xfId="0" applyFont="1"/>
    <xf numFmtId="0" fontId="0" fillId="0" borderId="0" xfId="0" applyAlignment="1">
      <alignment wrapText="1"/>
    </xf>
    <xf numFmtId="0" fontId="7" fillId="0" borderId="10" xfId="0" applyFont="1" applyFill="1" applyBorder="1"/>
    <xf numFmtId="16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" fillId="0" borderId="0" xfId="0" applyNumberFormat="1" applyFont="1"/>
    <xf numFmtId="164" fontId="0" fillId="3" borderId="0" xfId="0" applyNumberFormat="1" applyFill="1"/>
    <xf numFmtId="0" fontId="0" fillId="3" borderId="0" xfId="0" applyFill="1"/>
    <xf numFmtId="0" fontId="7" fillId="0" borderId="9" xfId="0" applyFont="1" applyBorder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164" fontId="0" fillId="0" borderId="14" xfId="0" applyNumberFormat="1" applyBorder="1" applyAlignment="1">
      <alignment horizontal="right" vertical="center"/>
    </xf>
    <xf numFmtId="164" fontId="0" fillId="0" borderId="15" xfId="0" applyNumberFormat="1" applyBorder="1" applyAlignment="1">
      <alignment horizontal="right" vertical="center"/>
    </xf>
    <xf numFmtId="164" fontId="0" fillId="0" borderId="14" xfId="0" applyNumberFormat="1" applyBorder="1" applyAlignment="1">
      <alignment horizontal="left" vertical="center"/>
    </xf>
    <xf numFmtId="164" fontId="0" fillId="0" borderId="15" xfId="0" applyNumberForma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0" xfId="0" applyNumberFormat="1" applyFill="1" applyBorder="1"/>
    <xf numFmtId="164" fontId="0" fillId="0" borderId="0" xfId="0" applyNumberFormat="1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/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/>
    <xf numFmtId="0" fontId="9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0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32E47-365C-4C50-9EBD-AAB974D63F1B}">
  <dimension ref="A1:AB36"/>
  <sheetViews>
    <sheetView tabSelected="1" workbookViewId="0">
      <selection activeCell="F35" sqref="F35"/>
    </sheetView>
  </sheetViews>
  <sheetFormatPr defaultRowHeight="15" x14ac:dyDescent="0.25"/>
  <cols>
    <col min="1" max="1" width="20.140625" bestFit="1" customWidth="1"/>
    <col min="2" max="2" width="12" style="6" bestFit="1" customWidth="1"/>
    <col min="3" max="3" width="18.7109375" style="6" bestFit="1" customWidth="1"/>
    <col min="4" max="4" width="12.7109375" style="6" bestFit="1" customWidth="1"/>
    <col min="5" max="5" width="13.5703125" bestFit="1" customWidth="1"/>
    <col min="6" max="6" width="14.85546875" bestFit="1" customWidth="1"/>
    <col min="7" max="7" width="15.140625" bestFit="1" customWidth="1"/>
    <col min="8" max="8" width="15.140625" customWidth="1"/>
    <col min="9" max="9" width="10.42578125" bestFit="1" customWidth="1"/>
    <col min="10" max="10" width="12.42578125" bestFit="1" customWidth="1"/>
    <col min="11" max="11" width="15.140625" bestFit="1" customWidth="1"/>
    <col min="12" max="12" width="13.5703125" style="6" bestFit="1" customWidth="1"/>
    <col min="13" max="14" width="18.85546875" bestFit="1" customWidth="1"/>
    <col min="15" max="16" width="13.7109375" bestFit="1" customWidth="1"/>
    <col min="17" max="17" width="11.28515625" style="1" bestFit="1" customWidth="1"/>
  </cols>
  <sheetData>
    <row r="1" spans="1:28" ht="19.5" thickBot="1" x14ac:dyDescent="0.35">
      <c r="A1" s="48" t="s">
        <v>62</v>
      </c>
      <c r="B1" s="48"/>
      <c r="C1" s="48"/>
      <c r="D1" s="48"/>
      <c r="E1" s="48"/>
      <c r="F1" s="48"/>
      <c r="G1" s="48"/>
      <c r="H1" s="13"/>
      <c r="K1" s="50" t="s">
        <v>88</v>
      </c>
      <c r="L1" s="50"/>
      <c r="M1" s="50"/>
      <c r="N1" s="50"/>
    </row>
    <row r="2" spans="1:28" ht="18.75" x14ac:dyDescent="0.3">
      <c r="B2" s="49" t="s">
        <v>87</v>
      </c>
      <c r="C2" s="49"/>
      <c r="D2" s="49"/>
      <c r="I2" s="14"/>
      <c r="J2" s="69" t="s">
        <v>84</v>
      </c>
      <c r="K2" s="69"/>
      <c r="L2" s="69"/>
      <c r="M2" s="69"/>
      <c r="N2" s="69"/>
      <c r="O2" s="70"/>
    </row>
    <row r="3" spans="1:28" x14ac:dyDescent="0.25">
      <c r="B3" s="6" t="s">
        <v>37</v>
      </c>
      <c r="C3" s="6" t="s">
        <v>38</v>
      </c>
      <c r="D3" s="6" t="s">
        <v>11</v>
      </c>
      <c r="E3" s="47" t="s">
        <v>74</v>
      </c>
      <c r="F3" s="47"/>
      <c r="G3" t="s">
        <v>10</v>
      </c>
      <c r="I3" s="15"/>
      <c r="J3" s="30" t="s">
        <v>76</v>
      </c>
      <c r="K3" s="30" t="s">
        <v>77</v>
      </c>
      <c r="L3" s="30" t="s">
        <v>79</v>
      </c>
      <c r="M3" s="30" t="s">
        <v>82</v>
      </c>
      <c r="N3" s="30" t="s">
        <v>78</v>
      </c>
      <c r="O3" s="31" t="s">
        <v>83</v>
      </c>
      <c r="P3" s="1"/>
      <c r="Q3"/>
    </row>
    <row r="4" spans="1:28" x14ac:dyDescent="0.25">
      <c r="A4" s="8" t="s">
        <v>0</v>
      </c>
      <c r="B4" s="7">
        <v>10.17</v>
      </c>
      <c r="C4" s="7">
        <v>294970.68</v>
      </c>
      <c r="D4" s="1">
        <v>227768.98</v>
      </c>
      <c r="E4" s="46">
        <f>C4-D4</f>
        <v>67201.699999999983</v>
      </c>
      <c r="F4" s="46"/>
      <c r="G4" s="1">
        <v>11.17</v>
      </c>
      <c r="H4" s="71">
        <f>G4+G5</f>
        <v>27.05</v>
      </c>
      <c r="I4" s="19"/>
      <c r="J4" s="20">
        <v>9.93</v>
      </c>
      <c r="K4" s="20">
        <v>33</v>
      </c>
      <c r="L4" s="20">
        <v>28.7</v>
      </c>
      <c r="M4" s="20">
        <v>20.2</v>
      </c>
      <c r="N4" s="20">
        <v>23.8</v>
      </c>
      <c r="O4" s="21">
        <v>26.55</v>
      </c>
      <c r="P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t="s">
        <v>1</v>
      </c>
      <c r="B5" s="7">
        <v>13.88</v>
      </c>
      <c r="C5" s="7">
        <v>402575.52</v>
      </c>
      <c r="D5" s="1">
        <v>410250</v>
      </c>
      <c r="E5" s="46">
        <f t="shared" ref="E5:E13" si="0">C5-D5</f>
        <v>-7674.4799999999814</v>
      </c>
      <c r="F5" s="46"/>
      <c r="G5" s="1">
        <v>15.88</v>
      </c>
      <c r="H5" s="71"/>
      <c r="I5" s="19"/>
      <c r="J5" s="20">
        <v>18.07</v>
      </c>
      <c r="K5" s="20" t="s">
        <v>81</v>
      </c>
      <c r="L5" s="20" t="s">
        <v>81</v>
      </c>
      <c r="M5" s="20" t="s">
        <v>81</v>
      </c>
      <c r="N5" s="20" t="s">
        <v>81</v>
      </c>
      <c r="O5" s="21" t="s">
        <v>81</v>
      </c>
      <c r="P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8" t="s">
        <v>7</v>
      </c>
      <c r="B6" s="7">
        <v>16.05</v>
      </c>
      <c r="C6" s="51">
        <v>445561.8</v>
      </c>
      <c r="D6" s="73">
        <v>444087.62</v>
      </c>
      <c r="E6" s="51">
        <f t="shared" si="0"/>
        <v>1474.179999999993</v>
      </c>
      <c r="F6" s="51"/>
      <c r="G6" s="1">
        <v>17.100000000000001</v>
      </c>
      <c r="H6" s="1"/>
      <c r="I6" s="19"/>
      <c r="J6" s="20">
        <v>12.39</v>
      </c>
      <c r="K6" s="20">
        <v>11.73</v>
      </c>
      <c r="L6" s="20">
        <v>12.04</v>
      </c>
      <c r="M6" s="20">
        <v>16.55</v>
      </c>
      <c r="N6" s="20">
        <v>10.52</v>
      </c>
      <c r="O6" s="21">
        <v>10</v>
      </c>
      <c r="P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8" t="s">
        <v>2</v>
      </c>
      <c r="B7" s="7">
        <v>6.9</v>
      </c>
      <c r="C7" s="51"/>
      <c r="D7" s="73"/>
      <c r="E7" s="51"/>
      <c r="F7" s="51"/>
      <c r="G7" s="1">
        <v>7.9</v>
      </c>
      <c r="H7" s="1"/>
      <c r="I7" s="19"/>
      <c r="J7" s="20">
        <v>19.329999999999998</v>
      </c>
      <c r="K7" s="20">
        <v>7.48</v>
      </c>
      <c r="L7" s="20">
        <v>7.77</v>
      </c>
      <c r="M7" s="20">
        <v>16.55</v>
      </c>
      <c r="N7" s="20">
        <v>5.42</v>
      </c>
      <c r="O7" s="21">
        <v>11</v>
      </c>
      <c r="P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8" t="s">
        <v>3</v>
      </c>
      <c r="B8" s="7">
        <v>6.9</v>
      </c>
      <c r="C8" s="51"/>
      <c r="D8" s="73"/>
      <c r="E8" s="51"/>
      <c r="F8" s="51"/>
      <c r="G8" s="1">
        <v>7.9</v>
      </c>
      <c r="H8" s="1"/>
      <c r="I8" s="19"/>
      <c r="J8" s="20">
        <v>19.329999999999998</v>
      </c>
      <c r="K8" s="20">
        <v>7.48</v>
      </c>
      <c r="L8" s="20">
        <v>7.77</v>
      </c>
      <c r="M8" s="20">
        <v>16.55</v>
      </c>
      <c r="N8" s="20">
        <v>5.42</v>
      </c>
      <c r="O8" s="21">
        <v>11</v>
      </c>
      <c r="P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8" t="s">
        <v>4</v>
      </c>
      <c r="B9" s="7">
        <v>6.9</v>
      </c>
      <c r="C9" s="51"/>
      <c r="D9" s="73"/>
      <c r="E9" s="51"/>
      <c r="F9" s="51"/>
      <c r="G9" s="1">
        <v>7.9</v>
      </c>
      <c r="H9" s="1"/>
      <c r="I9" s="19"/>
      <c r="J9" s="20">
        <v>19.329999999999998</v>
      </c>
      <c r="K9" s="20">
        <v>7.48</v>
      </c>
      <c r="L9" s="20">
        <v>7.77</v>
      </c>
      <c r="M9" s="20">
        <v>16.55</v>
      </c>
      <c r="N9" s="20">
        <v>5.42</v>
      </c>
      <c r="O9" s="21">
        <v>11</v>
      </c>
      <c r="P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8" t="s">
        <v>5</v>
      </c>
      <c r="B10" s="7">
        <v>6.9</v>
      </c>
      <c r="C10" s="51"/>
      <c r="D10" s="73"/>
      <c r="E10" s="51"/>
      <c r="F10" s="51"/>
      <c r="G10" s="1">
        <v>7.9</v>
      </c>
      <c r="H10" s="1"/>
      <c r="I10" s="19"/>
      <c r="J10" s="20">
        <v>19.329999999999998</v>
      </c>
      <c r="K10" s="20">
        <v>7.48</v>
      </c>
      <c r="L10" s="20">
        <v>7.77</v>
      </c>
      <c r="M10" s="20">
        <v>16.55</v>
      </c>
      <c r="N10" s="20">
        <v>5.42</v>
      </c>
      <c r="O10" s="21">
        <v>11</v>
      </c>
      <c r="P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8" t="s">
        <v>6</v>
      </c>
      <c r="B11" s="7">
        <v>4.45</v>
      </c>
      <c r="C11" s="51"/>
      <c r="D11" s="73"/>
      <c r="E11" s="51"/>
      <c r="F11" s="51"/>
      <c r="G11" s="1">
        <v>5.5</v>
      </c>
      <c r="H11" s="1"/>
      <c r="I11" s="19"/>
      <c r="J11" s="20" t="s">
        <v>81</v>
      </c>
      <c r="K11" s="20" t="s">
        <v>81</v>
      </c>
      <c r="L11" s="20">
        <v>6.5</v>
      </c>
      <c r="M11" s="20" t="s">
        <v>81</v>
      </c>
      <c r="N11" s="20">
        <v>3.12</v>
      </c>
      <c r="O11" s="21">
        <v>4.25</v>
      </c>
      <c r="P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8" t="s">
        <v>8</v>
      </c>
      <c r="B12" s="7">
        <v>4.45</v>
      </c>
      <c r="C12" s="51"/>
      <c r="D12" s="73"/>
      <c r="E12" s="51"/>
      <c r="F12" s="51"/>
      <c r="G12" s="1">
        <v>5.45</v>
      </c>
      <c r="H12" s="1"/>
      <c r="I12" s="19"/>
      <c r="J12" s="20">
        <v>10</v>
      </c>
      <c r="K12" s="20" t="s">
        <v>81</v>
      </c>
      <c r="L12" s="20">
        <v>6.36</v>
      </c>
      <c r="M12" s="20">
        <v>5.95</v>
      </c>
      <c r="N12" s="20">
        <v>3.12</v>
      </c>
      <c r="O12" s="21">
        <v>5</v>
      </c>
      <c r="P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8" t="s">
        <v>12</v>
      </c>
      <c r="B13" s="7">
        <v>8.5</v>
      </c>
      <c r="C13" s="7">
        <v>246534</v>
      </c>
      <c r="D13" s="7">
        <v>235818.67</v>
      </c>
      <c r="E13" s="46">
        <f t="shared" si="0"/>
        <v>10715.329999999987</v>
      </c>
      <c r="F13" s="46"/>
      <c r="G13" s="1">
        <v>9</v>
      </c>
      <c r="H13" s="1"/>
      <c r="I13" s="19"/>
      <c r="J13" s="20">
        <v>12.1</v>
      </c>
      <c r="K13" s="20">
        <v>3</v>
      </c>
      <c r="L13" s="20">
        <v>4.6100000000000003</v>
      </c>
      <c r="M13" s="20">
        <v>8.9499999999999993</v>
      </c>
      <c r="N13" s="20">
        <v>2.2000000000000002</v>
      </c>
      <c r="O13" s="21">
        <v>7.8</v>
      </c>
      <c r="P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8" t="s">
        <v>9</v>
      </c>
      <c r="B14" s="9"/>
      <c r="C14" s="9"/>
      <c r="D14" s="9"/>
      <c r="E14" s="10"/>
      <c r="F14" s="10"/>
      <c r="G14" s="10" t="s">
        <v>13</v>
      </c>
      <c r="H14" s="10"/>
      <c r="I14" s="19"/>
      <c r="J14" s="20" t="s">
        <v>81</v>
      </c>
      <c r="K14" s="20" t="s">
        <v>81</v>
      </c>
      <c r="L14" s="20">
        <v>5.54</v>
      </c>
      <c r="M14" s="20" t="s">
        <v>81</v>
      </c>
      <c r="N14" s="20" t="s">
        <v>81</v>
      </c>
      <c r="O14" s="21">
        <v>4</v>
      </c>
      <c r="P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2" t="s">
        <v>14</v>
      </c>
      <c r="B15" s="7">
        <v>0.5</v>
      </c>
      <c r="C15" s="7">
        <v>9528</v>
      </c>
      <c r="D15" s="51">
        <v>23396.46</v>
      </c>
      <c r="E15" s="51">
        <f>C15+C16-D15</f>
        <v>-3920.4599999999991</v>
      </c>
      <c r="F15" s="51"/>
      <c r="G15" s="1">
        <v>2.5</v>
      </c>
      <c r="H15" s="1"/>
      <c r="I15" s="19"/>
      <c r="J15" s="20" t="s">
        <v>81</v>
      </c>
      <c r="K15" s="20" t="s">
        <v>81</v>
      </c>
      <c r="L15" s="20" t="s">
        <v>81</v>
      </c>
      <c r="M15" s="20" t="s">
        <v>81</v>
      </c>
      <c r="N15" s="20" t="s">
        <v>81</v>
      </c>
      <c r="O15" s="21"/>
      <c r="P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2" t="s">
        <v>15</v>
      </c>
      <c r="B16" s="7">
        <v>1</v>
      </c>
      <c r="C16" s="7">
        <v>9948</v>
      </c>
      <c r="D16" s="51"/>
      <c r="E16" s="51"/>
      <c r="F16" s="51"/>
      <c r="G16" s="1">
        <v>3</v>
      </c>
      <c r="H16" s="1"/>
      <c r="I16" s="19"/>
      <c r="J16" s="20" t="s">
        <v>81</v>
      </c>
      <c r="K16" s="20" t="s">
        <v>81</v>
      </c>
      <c r="L16" s="20" t="s">
        <v>81</v>
      </c>
      <c r="M16" s="20" t="s">
        <v>81</v>
      </c>
      <c r="N16" s="20" t="s">
        <v>81</v>
      </c>
      <c r="O16" s="21" t="s">
        <v>81</v>
      </c>
      <c r="P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B17" s="7"/>
      <c r="C17" s="7"/>
      <c r="D17" s="7"/>
      <c r="E17" s="1"/>
      <c r="F17" s="1"/>
      <c r="G17" s="1"/>
      <c r="H17" s="1"/>
      <c r="I17" s="19"/>
      <c r="J17" s="20"/>
      <c r="K17" s="20"/>
      <c r="L17" s="20"/>
      <c r="M17" s="20"/>
      <c r="N17" s="20"/>
      <c r="O17" s="21"/>
      <c r="P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t="s">
        <v>75</v>
      </c>
      <c r="B18" s="7">
        <f>SUM(B4:B16)</f>
        <v>86.600000000000009</v>
      </c>
      <c r="C18" s="7">
        <f>SUM(C4:C16)</f>
        <v>1409118</v>
      </c>
      <c r="D18" s="7">
        <f t="shared" ref="D18:G18" si="1">SUM(D4:D16)</f>
        <v>1341321.73</v>
      </c>
      <c r="E18" s="51">
        <f t="shared" si="1"/>
        <v>67796.26999999999</v>
      </c>
      <c r="F18" s="51"/>
      <c r="G18" s="7">
        <f t="shared" si="1"/>
        <v>101.20000000000002</v>
      </c>
      <c r="H18" s="12"/>
      <c r="I18" s="22"/>
      <c r="J18" s="20">
        <f>SUM(J4:J16)</f>
        <v>139.81</v>
      </c>
      <c r="K18" s="20">
        <f t="shared" ref="K18:M18" si="2">SUM(K4:K16)</f>
        <v>77.65000000000002</v>
      </c>
      <c r="L18" s="20">
        <f>SUM(L4:L16)</f>
        <v>94.829999999999984</v>
      </c>
      <c r="M18" s="20">
        <f t="shared" si="2"/>
        <v>117.85</v>
      </c>
      <c r="N18" s="20">
        <f>SUM(N4:N16)</f>
        <v>64.44</v>
      </c>
      <c r="O18" s="21">
        <f t="shared" ref="O18" si="3">SUM(O4:O16)</f>
        <v>101.6</v>
      </c>
      <c r="P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B19" s="7"/>
      <c r="C19" s="7"/>
      <c r="D19" s="7"/>
      <c r="E19" s="1"/>
      <c r="F19" s="1"/>
      <c r="G19" s="1"/>
      <c r="H19" s="1"/>
      <c r="I19" s="32" t="s">
        <v>80</v>
      </c>
      <c r="J19" s="20">
        <f>J18-G18</f>
        <v>38.609999999999985</v>
      </c>
      <c r="K19" s="20">
        <f>K18-G18</f>
        <v>-23.549999999999997</v>
      </c>
      <c r="L19" s="20">
        <f>L18-G18</f>
        <v>-6.370000000000033</v>
      </c>
      <c r="M19" s="20">
        <f>M18-G18</f>
        <v>16.649999999999977</v>
      </c>
      <c r="N19" s="20">
        <f>N18-G18</f>
        <v>-36.760000000000019</v>
      </c>
      <c r="O19" s="21">
        <f>O18-G18</f>
        <v>0.39999999999997726</v>
      </c>
      <c r="P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52" t="s">
        <v>70</v>
      </c>
      <c r="B20" s="52"/>
      <c r="C20" s="52"/>
      <c r="D20" s="52"/>
      <c r="E20" s="1"/>
      <c r="F20" s="1"/>
      <c r="G20" s="1"/>
      <c r="H20" s="1"/>
      <c r="I20" s="19"/>
      <c r="J20" s="16"/>
      <c r="K20" s="23"/>
      <c r="L20" s="20"/>
      <c r="M20" s="23"/>
      <c r="N20" s="23"/>
      <c r="O20" s="24"/>
      <c r="P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67" t="s">
        <v>0</v>
      </c>
      <c r="B21" s="7">
        <f t="shared" ref="B21:B30" si="4">G4-B4</f>
        <v>1</v>
      </c>
      <c r="C21" s="1">
        <f>(G4*2417)*12</f>
        <v>323974.68</v>
      </c>
      <c r="D21" s="1"/>
      <c r="E21" s="1"/>
      <c r="G21" s="1"/>
      <c r="H21" s="1"/>
      <c r="I21" s="19" t="s">
        <v>119</v>
      </c>
      <c r="J21" s="23">
        <f>J18-B18</f>
        <v>53.209999999999994</v>
      </c>
      <c r="K21" s="23"/>
      <c r="L21" s="23"/>
      <c r="M21" s="23"/>
      <c r="N21" s="23"/>
      <c r="O21" s="18"/>
      <c r="P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t="s">
        <v>1</v>
      </c>
      <c r="B22" s="7">
        <f t="shared" si="4"/>
        <v>2</v>
      </c>
      <c r="C22" s="1">
        <f>(G5*2417)*12</f>
        <v>460583.52</v>
      </c>
      <c r="D22" s="81" t="s">
        <v>126</v>
      </c>
      <c r="E22" s="81"/>
      <c r="F22" s="81"/>
      <c r="I22" s="15"/>
      <c r="J22" s="16"/>
      <c r="K22" s="23"/>
      <c r="L22" s="17"/>
      <c r="M22" s="25" t="s">
        <v>85</v>
      </c>
      <c r="N22" s="16"/>
      <c r="O22" s="18"/>
      <c r="P22" s="1"/>
      <c r="Q22"/>
    </row>
    <row r="23" spans="1:28" x14ac:dyDescent="0.25">
      <c r="A23" s="67" t="s">
        <v>7</v>
      </c>
      <c r="B23" s="7">
        <f t="shared" si="4"/>
        <v>1.0500000000000007</v>
      </c>
      <c r="C23" s="1">
        <f t="shared" ref="C23:C28" si="5">(G6*1588)*12</f>
        <v>325857.60000000003</v>
      </c>
      <c r="D23" s="51">
        <f>SUM(C23:C29)</f>
        <v>504546.00000000006</v>
      </c>
      <c r="I23" s="15"/>
      <c r="J23" s="16"/>
      <c r="K23" s="16"/>
      <c r="L23" s="17"/>
      <c r="M23" s="16" t="s">
        <v>86</v>
      </c>
      <c r="N23" s="16"/>
      <c r="O23" s="18"/>
      <c r="P23" s="1"/>
      <c r="Q23"/>
    </row>
    <row r="24" spans="1:28" x14ac:dyDescent="0.25">
      <c r="A24" s="67" t="s">
        <v>2</v>
      </c>
      <c r="B24" s="7">
        <f t="shared" si="4"/>
        <v>1</v>
      </c>
      <c r="C24" s="68">
        <f>(G7*693)*12</f>
        <v>65696.399999999994</v>
      </c>
      <c r="D24" s="47"/>
      <c r="I24" s="15"/>
      <c r="J24" s="16"/>
      <c r="K24" s="16"/>
      <c r="L24" s="17"/>
      <c r="M24" s="23" t="s">
        <v>123</v>
      </c>
      <c r="N24" s="16"/>
      <c r="O24" s="18"/>
      <c r="P24" s="1"/>
      <c r="Q24"/>
    </row>
    <row r="25" spans="1:28" x14ac:dyDescent="0.25">
      <c r="A25" s="67" t="s">
        <v>3</v>
      </c>
      <c r="B25" s="7">
        <f t="shared" si="4"/>
        <v>1</v>
      </c>
      <c r="C25" s="68">
        <f>(G8*23)*12</f>
        <v>2180.4</v>
      </c>
      <c r="D25" s="47"/>
      <c r="I25" s="15"/>
      <c r="J25" s="16"/>
      <c r="K25" s="16"/>
      <c r="L25" s="17"/>
      <c r="M25" s="72" t="s">
        <v>116</v>
      </c>
      <c r="N25" s="16"/>
      <c r="O25" s="18"/>
      <c r="P25" s="1"/>
      <c r="Q25"/>
    </row>
    <row r="26" spans="1:28" ht="15.75" thickBot="1" x14ac:dyDescent="0.3">
      <c r="A26" s="67" t="s">
        <v>4</v>
      </c>
      <c r="B26" s="7">
        <f t="shared" si="4"/>
        <v>1</v>
      </c>
      <c r="C26" s="68">
        <f>(G9*3)*12</f>
        <v>284.40000000000003</v>
      </c>
      <c r="D26" s="47"/>
      <c r="I26" s="26"/>
      <c r="J26" s="27"/>
      <c r="K26" s="27"/>
      <c r="L26" s="28"/>
      <c r="M26" s="27"/>
      <c r="N26" s="27"/>
      <c r="O26" s="29"/>
      <c r="P26" s="1"/>
      <c r="Q26"/>
    </row>
    <row r="27" spans="1:28" x14ac:dyDescent="0.25">
      <c r="A27" s="67" t="s">
        <v>5</v>
      </c>
      <c r="B27" s="7">
        <f t="shared" si="4"/>
        <v>1</v>
      </c>
      <c r="C27" s="68">
        <f>(G10*1)*12</f>
        <v>94.800000000000011</v>
      </c>
      <c r="D27" s="47"/>
      <c r="F27" s="1"/>
    </row>
    <row r="28" spans="1:28" x14ac:dyDescent="0.25">
      <c r="A28" s="67" t="s">
        <v>6</v>
      </c>
      <c r="B28" s="7">
        <f t="shared" si="4"/>
        <v>1.0499999999999998</v>
      </c>
      <c r="C28" s="68">
        <f t="shared" si="5"/>
        <v>104808</v>
      </c>
      <c r="D28" s="47"/>
    </row>
    <row r="29" spans="1:28" x14ac:dyDescent="0.25">
      <c r="A29" s="67" t="s">
        <v>8</v>
      </c>
      <c r="B29" s="7">
        <f t="shared" si="4"/>
        <v>1</v>
      </c>
      <c r="C29" s="68">
        <f>(G12*86)*12</f>
        <v>5624.4</v>
      </c>
      <c r="D29" s="47"/>
    </row>
    <row r="30" spans="1:28" x14ac:dyDescent="0.25">
      <c r="A30" s="67" t="s">
        <v>12</v>
      </c>
      <c r="B30" s="7">
        <f t="shared" si="4"/>
        <v>0.5</v>
      </c>
      <c r="C30" s="68">
        <f>(G13*2417)*12</f>
        <v>261036</v>
      </c>
      <c r="D30" s="1"/>
    </row>
    <row r="31" spans="1:28" ht="15.75" thickBot="1" x14ac:dyDescent="0.3">
      <c r="A31" s="67" t="s">
        <v>9</v>
      </c>
      <c r="B31" s="7"/>
      <c r="C31" s="1"/>
      <c r="D31" s="1"/>
    </row>
    <row r="32" spans="1:28" x14ac:dyDescent="0.25">
      <c r="A32" s="2" t="s">
        <v>14</v>
      </c>
      <c r="B32" s="7">
        <f>G15-B15</f>
        <v>2</v>
      </c>
      <c r="C32" s="1">
        <f>(G15*1588)*12</f>
        <v>47640</v>
      </c>
      <c r="D32" s="51">
        <f>SUM(C32:C33)</f>
        <v>77484</v>
      </c>
      <c r="H32" s="74" t="s">
        <v>121</v>
      </c>
      <c r="I32" s="75"/>
      <c r="J32" s="75"/>
      <c r="K32" s="75"/>
      <c r="L32" s="75"/>
      <c r="M32" s="75"/>
      <c r="N32" s="75"/>
      <c r="O32" s="76"/>
    </row>
    <row r="33" spans="1:15" x14ac:dyDescent="0.25">
      <c r="A33" s="2" t="s">
        <v>15</v>
      </c>
      <c r="B33" s="7">
        <f>G16-B16</f>
        <v>2</v>
      </c>
      <c r="C33" s="1">
        <f>(G16*829)*12</f>
        <v>29844</v>
      </c>
      <c r="D33" s="51"/>
      <c r="H33" s="15" t="s">
        <v>120</v>
      </c>
      <c r="I33" s="16"/>
      <c r="J33" s="16" t="s">
        <v>76</v>
      </c>
      <c r="K33" s="16" t="s">
        <v>125</v>
      </c>
      <c r="L33" s="17" t="s">
        <v>79</v>
      </c>
      <c r="M33" s="16" t="s">
        <v>122</v>
      </c>
      <c r="N33" s="16" t="s">
        <v>124</v>
      </c>
      <c r="O33" s="18" t="s">
        <v>83</v>
      </c>
    </row>
    <row r="34" spans="1:15" ht="15.75" thickBot="1" x14ac:dyDescent="0.3">
      <c r="A34" s="1"/>
      <c r="B34" s="7"/>
      <c r="C34" s="1"/>
      <c r="D34" s="1"/>
      <c r="H34" s="77">
        <f>B4+B5+B6+B7+B11+B13+B15</f>
        <v>60.45</v>
      </c>
      <c r="I34" s="27"/>
      <c r="J34" s="78">
        <f>J4+J5+J6+J7+J12</f>
        <v>69.72</v>
      </c>
      <c r="K34" s="78">
        <f>K4+K6+K7+K13</f>
        <v>55.210000000000008</v>
      </c>
      <c r="L34" s="79">
        <f>L4+L6+L7+L11+L13+L14</f>
        <v>65.16</v>
      </c>
      <c r="M34" s="78">
        <f>M4+M6+M7+M12</f>
        <v>59.25</v>
      </c>
      <c r="N34" s="78">
        <f>N4+N6+N7+N11+N13</f>
        <v>45.06</v>
      </c>
      <c r="O34" s="80">
        <f>O4+O6+O7+O11+O13+O14</f>
        <v>63.599999999999994</v>
      </c>
    </row>
    <row r="35" spans="1:15" x14ac:dyDescent="0.25">
      <c r="A35" s="46" t="s">
        <v>71</v>
      </c>
      <c r="B35" s="46"/>
      <c r="C35" s="46"/>
      <c r="D35" s="1"/>
    </row>
    <row r="36" spans="1:15" x14ac:dyDescent="0.25">
      <c r="A36" s="46">
        <f>B21+B22+B23+B28+B30+B32</f>
        <v>7.6000000000000005</v>
      </c>
      <c r="B36" s="46"/>
      <c r="C36" s="46"/>
      <c r="D36" s="1"/>
    </row>
  </sheetData>
  <mergeCells count="22">
    <mergeCell ref="D22:F22"/>
    <mergeCell ref="K1:N1"/>
    <mergeCell ref="A36:C36"/>
    <mergeCell ref="A35:C35"/>
    <mergeCell ref="C6:C12"/>
    <mergeCell ref="D23:D29"/>
    <mergeCell ref="D32:D33"/>
    <mergeCell ref="E18:F18"/>
    <mergeCell ref="E15:F16"/>
    <mergeCell ref="E13:F13"/>
    <mergeCell ref="E6:F12"/>
    <mergeCell ref="D15:D16"/>
    <mergeCell ref="D6:D12"/>
    <mergeCell ref="A20:D20"/>
    <mergeCell ref="J2:O2"/>
    <mergeCell ref="H4:H5"/>
    <mergeCell ref="H32:O32"/>
    <mergeCell ref="E5:F5"/>
    <mergeCell ref="E4:F4"/>
    <mergeCell ref="E3:F3"/>
    <mergeCell ref="A1:G1"/>
    <mergeCell ref="B2:D2"/>
  </mergeCells>
  <conditionalFormatting sqref="E14:F14 E15 E13 E4:E6">
    <cfRule type="cellIs" dxfId="82" priority="52" operator="lessThan">
      <formula>0</formula>
    </cfRule>
    <cfRule type="cellIs" dxfId="81" priority="53" operator="greaterThan">
      <formula>0</formula>
    </cfRule>
  </conditionalFormatting>
  <conditionalFormatting sqref="J4">
    <cfRule type="cellIs" dxfId="80" priority="50" operator="lessThan">
      <formula>$G$4</formula>
    </cfRule>
    <cfRule type="cellIs" dxfId="79" priority="51" operator="greaterThan">
      <formula>$G$4</formula>
    </cfRule>
  </conditionalFormatting>
  <conditionalFormatting sqref="J5">
    <cfRule type="cellIs" dxfId="78" priority="49" operator="greaterThan">
      <formula>$G$5</formula>
    </cfRule>
  </conditionalFormatting>
  <conditionalFormatting sqref="J6">
    <cfRule type="cellIs" dxfId="77" priority="48" operator="lessThan">
      <formula>$G$6</formula>
    </cfRule>
  </conditionalFormatting>
  <conditionalFormatting sqref="J7:J10">
    <cfRule type="cellIs" dxfId="76" priority="47" operator="greaterThan">
      <formula>$G$7</formula>
    </cfRule>
  </conditionalFormatting>
  <conditionalFormatting sqref="J12">
    <cfRule type="cellIs" dxfId="75" priority="46" operator="greaterThan">
      <formula>$G$12</formula>
    </cfRule>
  </conditionalFormatting>
  <conditionalFormatting sqref="J13">
    <cfRule type="cellIs" dxfId="74" priority="45" operator="greaterThan">
      <formula>$G$13</formula>
    </cfRule>
  </conditionalFormatting>
  <conditionalFormatting sqref="N19">
    <cfRule type="cellIs" dxfId="73" priority="43" operator="lessThan">
      <formula>0</formula>
    </cfRule>
    <cfRule type="cellIs" dxfId="72" priority="44" operator="lessThan">
      <formula>$G$18</formula>
    </cfRule>
  </conditionalFormatting>
  <conditionalFormatting sqref="J19">
    <cfRule type="cellIs" dxfId="71" priority="42" operator="greaterThan">
      <formula>0</formula>
    </cfRule>
  </conditionalFormatting>
  <conditionalFormatting sqref="O19 K19:L19">
    <cfRule type="cellIs" dxfId="70" priority="40" operator="lessThan">
      <formula>0</formula>
    </cfRule>
    <cfRule type="cellIs" dxfId="69" priority="41" operator="greaterThan">
      <formula>0</formula>
    </cfRule>
  </conditionalFormatting>
  <conditionalFormatting sqref="M19">
    <cfRule type="cellIs" dxfId="68" priority="36" operator="lessThan">
      <formula>0</formula>
    </cfRule>
    <cfRule type="cellIs" dxfId="67" priority="37" operator="greaterThan">
      <formula>0</formula>
    </cfRule>
  </conditionalFormatting>
  <conditionalFormatting sqref="K5">
    <cfRule type="cellIs" dxfId="66" priority="27" operator="lessThan">
      <formula>$G$5</formula>
    </cfRule>
    <cfRule type="cellIs" dxfId="65" priority="28" operator="greaterThan">
      <formula>$G$5</formula>
    </cfRule>
  </conditionalFormatting>
  <conditionalFormatting sqref="K6:O6">
    <cfRule type="cellIs" dxfId="64" priority="25" operator="lessThan">
      <formula>$G$6</formula>
    </cfRule>
    <cfRule type="cellIs" dxfId="63" priority="26" operator="greaterThan">
      <formula>$G$6</formula>
    </cfRule>
  </conditionalFormatting>
  <conditionalFormatting sqref="K7:O10">
    <cfRule type="cellIs" dxfId="62" priority="23" operator="lessThan">
      <formula>$G$7</formula>
    </cfRule>
    <cfRule type="cellIs" dxfId="61" priority="24" operator="greaterThan">
      <formula>$G$7</formula>
    </cfRule>
  </conditionalFormatting>
  <conditionalFormatting sqref="K11:O11">
    <cfRule type="cellIs" dxfId="60" priority="21" operator="lessThan">
      <formula>$G$11</formula>
    </cfRule>
    <cfRule type="cellIs" dxfId="59" priority="22" operator="greaterThan">
      <formula>$G$11</formula>
    </cfRule>
  </conditionalFormatting>
  <conditionalFormatting sqref="K12:O12">
    <cfRule type="cellIs" dxfId="58" priority="19" operator="lessThan">
      <formula>$G$12</formula>
    </cfRule>
    <cfRule type="cellIs" dxfId="57" priority="20" operator="greaterThan">
      <formula>$G$12</formula>
    </cfRule>
  </conditionalFormatting>
  <conditionalFormatting sqref="K13:O13">
    <cfRule type="cellIs" dxfId="56" priority="17" operator="lessThan">
      <formula>5.58</formula>
    </cfRule>
    <cfRule type="cellIs" dxfId="55" priority="18" operator="greaterThan">
      <formula>$G$13</formula>
    </cfRule>
  </conditionalFormatting>
  <conditionalFormatting sqref="M13:O13">
    <cfRule type="cellIs" dxfId="54" priority="16" operator="lessThan">
      <formula>$G$13</formula>
    </cfRule>
  </conditionalFormatting>
  <conditionalFormatting sqref="L14 O14">
    <cfRule type="cellIs" dxfId="53" priority="15" operator="greaterThan">
      <formula>$G$15</formula>
    </cfRule>
  </conditionalFormatting>
  <conditionalFormatting sqref="D32:D33">
    <cfRule type="cellIs" dxfId="52" priority="14" operator="greaterThan">
      <formula>$D$15</formula>
    </cfRule>
  </conditionalFormatting>
  <conditionalFormatting sqref="D23:D29">
    <cfRule type="cellIs" dxfId="51" priority="12" operator="lessThan">
      <formula>$D$6</formula>
    </cfRule>
    <cfRule type="cellIs" dxfId="50" priority="13" operator="greaterThan">
      <formula>$D$6</formula>
    </cfRule>
  </conditionalFormatting>
  <conditionalFormatting sqref="C21">
    <cfRule type="cellIs" dxfId="49" priority="10" operator="lessThan">
      <formula>$D$4</formula>
    </cfRule>
    <cfRule type="cellIs" dxfId="48" priority="11" operator="greaterThan">
      <formula>$D$4</formula>
    </cfRule>
  </conditionalFormatting>
  <conditionalFormatting sqref="J4">
    <cfRule type="cellIs" dxfId="47" priority="7" operator="greaterThan">
      <formula>$H$4</formula>
    </cfRule>
  </conditionalFormatting>
  <conditionalFormatting sqref="K4:O4">
    <cfRule type="cellIs" dxfId="46" priority="5" operator="lessThan">
      <formula>$H$4</formula>
    </cfRule>
    <cfRule type="cellIs" dxfId="45" priority="6" operator="greaterThan">
      <formula>$H$4</formula>
    </cfRule>
  </conditionalFormatting>
  <conditionalFormatting sqref="C30">
    <cfRule type="cellIs" dxfId="44" priority="4" operator="greaterThan">
      <formula>$D$13</formula>
    </cfRule>
  </conditionalFormatting>
  <conditionalFormatting sqref="C22">
    <cfRule type="cellIs" dxfId="43" priority="2" operator="lessThan">
      <formula>$D$5</formula>
    </cfRule>
    <cfRule type="cellIs" dxfId="42" priority="3" operator="greaterThan">
      <formula>$D$5</formula>
    </cfRule>
  </conditionalFormatting>
  <conditionalFormatting sqref="J34:O34">
    <cfRule type="cellIs" dxfId="0" priority="1" operator="greaterThan">
      <formula>$H$34</formula>
    </cfRule>
  </conditionalFormatting>
  <hyperlinks>
    <hyperlink ref="A4" location="Sewer!A1" display="Sewer" xr:uid="{8D4C0D12-C379-4824-A317-62A9F253812E}"/>
    <hyperlink ref="A14" location="StreetLights!A1" display="Street Lights" xr:uid="{236AE03C-8AA5-4D78-9F44-AFC7602B8628}"/>
    <hyperlink ref="A13" location="'Storm Water'!A1" display="Storm Water" xr:uid="{2D3B8537-9FA7-410D-9ED5-0AD17C4795ED}"/>
    <hyperlink ref="A6:A12" location="Garbage!A1" display="Garbage Can 1st" xr:uid="{787BED1A-1C6C-485A-B03A-1038DD9CAC5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631FF-EB21-4D57-B8B7-A8502C0F93C7}">
  <dimension ref="A1:H21"/>
  <sheetViews>
    <sheetView workbookViewId="0">
      <selection activeCell="D5" sqref="D5"/>
    </sheetView>
  </sheetViews>
  <sheetFormatPr defaultRowHeight="15" x14ac:dyDescent="0.25"/>
  <cols>
    <col min="2" max="2" width="30.5703125" bestFit="1" customWidth="1"/>
    <col min="3" max="3" width="12.7109375" style="1" bestFit="1" customWidth="1"/>
    <col min="4" max="4" width="15.7109375" style="1" bestFit="1" customWidth="1"/>
    <col min="5" max="5" width="11.7109375" style="1" bestFit="1" customWidth="1"/>
    <col min="6" max="6" width="51.42578125" bestFit="1" customWidth="1"/>
    <col min="7" max="7" width="29" bestFit="1" customWidth="1"/>
    <col min="8" max="8" width="11.140625" bestFit="1" customWidth="1"/>
  </cols>
  <sheetData>
    <row r="1" spans="1:8" x14ac:dyDescent="0.25">
      <c r="A1" s="3" t="s">
        <v>16</v>
      </c>
      <c r="B1" s="3" t="s">
        <v>17</v>
      </c>
      <c r="C1" s="4" t="s">
        <v>18</v>
      </c>
      <c r="D1" s="4" t="s">
        <v>19</v>
      </c>
      <c r="E1" s="4" t="s">
        <v>35</v>
      </c>
      <c r="F1" s="3" t="s">
        <v>24</v>
      </c>
      <c r="G1" s="4" t="s">
        <v>118</v>
      </c>
    </row>
    <row r="2" spans="1:8" x14ac:dyDescent="0.25">
      <c r="A2" t="s">
        <v>20</v>
      </c>
      <c r="B2" t="s">
        <v>26</v>
      </c>
      <c r="C2" s="1">
        <v>53845</v>
      </c>
      <c r="D2" s="1">
        <v>51806.42</v>
      </c>
      <c r="E2" s="1">
        <f t="shared" ref="E2:E7" si="0">C2-D2</f>
        <v>2038.5800000000017</v>
      </c>
      <c r="G2" s="1">
        <f>D2+4641.92</f>
        <v>56448.34</v>
      </c>
      <c r="H2" s="1">
        <f>C2-G2</f>
        <v>-2603.3399999999965</v>
      </c>
    </row>
    <row r="3" spans="1:8" x14ac:dyDescent="0.25">
      <c r="A3" t="s">
        <v>21</v>
      </c>
      <c r="B3" t="s">
        <v>25</v>
      </c>
      <c r="C3" s="1">
        <v>16641</v>
      </c>
      <c r="D3" s="1">
        <v>14838.12</v>
      </c>
      <c r="E3" s="1">
        <f t="shared" si="0"/>
        <v>1802.8799999999992</v>
      </c>
      <c r="G3" s="1">
        <f>D3+1804.71</f>
        <v>16642.830000000002</v>
      </c>
      <c r="H3" s="1">
        <f t="shared" ref="H3:H9" si="1">C3-G3</f>
        <v>-1.8300000000017462</v>
      </c>
    </row>
    <row r="4" spans="1:8" x14ac:dyDescent="0.25">
      <c r="A4" t="s">
        <v>22</v>
      </c>
      <c r="B4" t="s">
        <v>27</v>
      </c>
      <c r="C4" s="1">
        <v>14000</v>
      </c>
      <c r="D4" s="1">
        <v>8688.5499999999993</v>
      </c>
      <c r="E4" s="1">
        <f t="shared" si="0"/>
        <v>5311.4500000000007</v>
      </c>
      <c r="G4" s="1">
        <f>D4+(1086.15*2)</f>
        <v>10860.849999999999</v>
      </c>
      <c r="H4" s="1">
        <f t="shared" si="1"/>
        <v>3139.1500000000015</v>
      </c>
    </row>
    <row r="5" spans="1:8" ht="30" x14ac:dyDescent="0.25">
      <c r="A5" t="s">
        <v>23</v>
      </c>
      <c r="B5" t="s">
        <v>28</v>
      </c>
      <c r="C5" s="1">
        <v>437678</v>
      </c>
      <c r="D5" s="1">
        <v>410250</v>
      </c>
      <c r="E5" s="1">
        <f t="shared" si="0"/>
        <v>27428</v>
      </c>
      <c r="F5" s="38" t="s">
        <v>100</v>
      </c>
      <c r="G5" s="1">
        <f>D5+100103</f>
        <v>510353</v>
      </c>
      <c r="H5" s="1">
        <f t="shared" si="1"/>
        <v>-72675</v>
      </c>
    </row>
    <row r="6" spans="1:8" x14ac:dyDescent="0.25">
      <c r="A6" t="s">
        <v>30</v>
      </c>
      <c r="B6" t="s">
        <v>29</v>
      </c>
      <c r="C6" s="1">
        <v>550000</v>
      </c>
      <c r="D6" s="1">
        <v>67968.960000000006</v>
      </c>
      <c r="E6" s="1">
        <f t="shared" si="0"/>
        <v>482031.04</v>
      </c>
      <c r="G6" s="1">
        <f>D6+4461.34</f>
        <v>72430.3</v>
      </c>
      <c r="H6" s="1">
        <f t="shared" si="1"/>
        <v>477569.7</v>
      </c>
    </row>
    <row r="7" spans="1:8" x14ac:dyDescent="0.25">
      <c r="A7" t="s">
        <v>31</v>
      </c>
      <c r="B7" t="s">
        <v>33</v>
      </c>
      <c r="C7" s="1">
        <v>60000</v>
      </c>
      <c r="D7" s="1">
        <v>41386.65</v>
      </c>
      <c r="E7" s="1">
        <f t="shared" si="0"/>
        <v>18613.349999999999</v>
      </c>
      <c r="G7" s="1">
        <v>41386.65</v>
      </c>
      <c r="H7" s="1">
        <f t="shared" si="1"/>
        <v>18613.349999999999</v>
      </c>
    </row>
    <row r="8" spans="1:8" x14ac:dyDescent="0.25">
      <c r="A8" t="s">
        <v>32</v>
      </c>
      <c r="B8" t="s">
        <v>34</v>
      </c>
      <c r="C8" s="1">
        <v>30000</v>
      </c>
      <c r="D8" s="1">
        <v>25000</v>
      </c>
      <c r="E8" s="1">
        <f>C8-D8</f>
        <v>5000</v>
      </c>
      <c r="G8" s="1">
        <f>D8+2500+2500</f>
        <v>30000</v>
      </c>
      <c r="H8" s="1">
        <f t="shared" si="1"/>
        <v>0</v>
      </c>
    </row>
    <row r="9" spans="1:8" x14ac:dyDescent="0.25">
      <c r="B9" t="s">
        <v>36</v>
      </c>
      <c r="C9" s="1">
        <f>SUM(C2:C8)</f>
        <v>1162164</v>
      </c>
      <c r="D9" s="1">
        <f t="shared" ref="D9:E9" si="2">SUM(D2:D8)</f>
        <v>619938.69999999995</v>
      </c>
      <c r="E9" s="1">
        <f t="shared" si="2"/>
        <v>542225.29999999993</v>
      </c>
      <c r="G9" s="1">
        <f>SUM(G2:G8)</f>
        <v>738121.97000000009</v>
      </c>
      <c r="H9" s="1">
        <f t="shared" si="1"/>
        <v>424042.02999999991</v>
      </c>
    </row>
    <row r="10" spans="1:8" x14ac:dyDescent="0.25">
      <c r="D10" s="1">
        <f>D2+D3+D4+D6+D7+D8</f>
        <v>209688.69999999998</v>
      </c>
      <c r="H10" s="1"/>
    </row>
    <row r="11" spans="1:8" x14ac:dyDescent="0.25">
      <c r="G11" s="1">
        <f>G2+G3+G4+G6+G7+G8</f>
        <v>227768.97</v>
      </c>
    </row>
    <row r="13" spans="1:8" x14ac:dyDescent="0.25">
      <c r="A13" s="53" t="s">
        <v>89</v>
      </c>
      <c r="B13" s="53"/>
      <c r="C13" s="33" t="s">
        <v>93</v>
      </c>
      <c r="D13" s="34" t="s">
        <v>94</v>
      </c>
      <c r="E13" s="34" t="s">
        <v>96</v>
      </c>
    </row>
    <row r="14" spans="1:8" x14ac:dyDescent="0.25">
      <c r="A14" s="35"/>
      <c r="B14" s="35" t="s">
        <v>1</v>
      </c>
      <c r="C14" s="36" t="s">
        <v>90</v>
      </c>
      <c r="D14" s="36">
        <v>100103</v>
      </c>
      <c r="E14" s="36">
        <f>D14*4</f>
        <v>400412</v>
      </c>
      <c r="F14" t="s">
        <v>99</v>
      </c>
      <c r="G14" s="1"/>
    </row>
    <row r="15" spans="1:8" x14ac:dyDescent="0.25">
      <c r="A15" s="35"/>
      <c r="B15" s="35" t="s">
        <v>101</v>
      </c>
      <c r="C15" s="36" t="s">
        <v>96</v>
      </c>
      <c r="D15" s="36"/>
      <c r="E15" s="36"/>
    </row>
    <row r="16" spans="1:8" x14ac:dyDescent="0.25">
      <c r="A16" s="35"/>
      <c r="B16" s="35" t="s">
        <v>102</v>
      </c>
      <c r="C16" s="36" t="s">
        <v>91</v>
      </c>
      <c r="D16" s="36">
        <v>1090.7</v>
      </c>
      <c r="E16" s="36">
        <f>D16*12</f>
        <v>13088.400000000001</v>
      </c>
    </row>
    <row r="17" spans="1:5" x14ac:dyDescent="0.25">
      <c r="A17" s="35"/>
      <c r="B17" s="35" t="s">
        <v>103</v>
      </c>
      <c r="C17" s="36" t="s">
        <v>96</v>
      </c>
      <c r="D17" s="36">
        <v>37751.99</v>
      </c>
      <c r="E17" s="36">
        <v>37751.99</v>
      </c>
    </row>
    <row r="18" spans="1:5" x14ac:dyDescent="0.25">
      <c r="A18" s="35"/>
      <c r="B18" s="35" t="s">
        <v>104</v>
      </c>
      <c r="C18" s="36" t="s">
        <v>91</v>
      </c>
      <c r="D18" s="36">
        <v>2500</v>
      </c>
      <c r="E18" s="36">
        <f>D18*12</f>
        <v>30000</v>
      </c>
    </row>
    <row r="19" spans="1:5" x14ac:dyDescent="0.25">
      <c r="A19" s="35"/>
      <c r="B19" s="35"/>
      <c r="C19" s="36"/>
      <c r="D19" s="36"/>
      <c r="E19" s="36"/>
    </row>
    <row r="20" spans="1:5" x14ac:dyDescent="0.25">
      <c r="A20" s="54" t="s">
        <v>75</v>
      </c>
      <c r="B20" s="55"/>
      <c r="C20" s="56"/>
      <c r="D20" s="36">
        <f>SUM(D14:D19)</f>
        <v>141445.69</v>
      </c>
      <c r="E20" s="36">
        <f>SUM(E14:E19)</f>
        <v>481252.39</v>
      </c>
    </row>
    <row r="21" spans="1:5" x14ac:dyDescent="0.25">
      <c r="B21" s="39" t="s">
        <v>105</v>
      </c>
    </row>
  </sheetData>
  <mergeCells count="2">
    <mergeCell ref="A13:B13"/>
    <mergeCell ref="A20:C20"/>
  </mergeCells>
  <conditionalFormatting sqref="E1:E8 E10:E12 E21:E1048576">
    <cfRule type="cellIs" dxfId="99" priority="3" operator="greaterThan">
      <formula>0</formula>
    </cfRule>
    <cfRule type="cellIs" dxfId="98" priority="4" operator="lessThan">
      <formula>0</formula>
    </cfRule>
  </conditionalFormatting>
  <conditionalFormatting sqref="H2:H9">
    <cfRule type="cellIs" dxfId="97" priority="1" operator="lessThan">
      <formula>0</formula>
    </cfRule>
    <cfRule type="cellIs" dxfId="96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239D-7189-4D45-AA36-6F8EB73BCFA9}">
  <dimension ref="A1:M32"/>
  <sheetViews>
    <sheetView workbookViewId="0">
      <selection activeCell="M4" sqref="M4:M5"/>
    </sheetView>
  </sheetViews>
  <sheetFormatPr defaultRowHeight="15" x14ac:dyDescent="0.25"/>
  <cols>
    <col min="2" max="2" width="20.140625" bestFit="1" customWidth="1"/>
    <col min="3" max="3" width="23.7109375" bestFit="1" customWidth="1"/>
    <col min="4" max="4" width="15.7109375" style="1" bestFit="1" customWidth="1"/>
    <col min="5" max="5" width="12" style="1" customWidth="1"/>
    <col min="6" max="6" width="11.7109375" style="1" bestFit="1" customWidth="1"/>
    <col min="7" max="7" width="28.85546875" bestFit="1" customWidth="1"/>
    <col min="9" max="9" width="11.140625" bestFit="1" customWidth="1"/>
    <col min="11" max="11" width="11.85546875" bestFit="1" customWidth="1"/>
    <col min="12" max="12" width="11.140625" bestFit="1" customWidth="1"/>
    <col min="13" max="13" width="10.140625" bestFit="1" customWidth="1"/>
  </cols>
  <sheetData>
    <row r="1" spans="1:13" x14ac:dyDescent="0.25">
      <c r="B1" s="3" t="s">
        <v>16</v>
      </c>
      <c r="C1" s="3" t="s">
        <v>17</v>
      </c>
      <c r="D1" s="4" t="s">
        <v>18</v>
      </c>
      <c r="E1" s="4" t="s">
        <v>19</v>
      </c>
      <c r="F1" s="4" t="s">
        <v>35</v>
      </c>
      <c r="G1" s="3" t="s">
        <v>24</v>
      </c>
      <c r="K1" s="4" t="s">
        <v>118</v>
      </c>
    </row>
    <row r="2" spans="1:13" x14ac:dyDescent="0.25">
      <c r="B2" t="s">
        <v>54</v>
      </c>
      <c r="C2" t="s">
        <v>61</v>
      </c>
      <c r="D2" s="68">
        <v>360000</v>
      </c>
      <c r="E2" s="43">
        <v>-299700.40000000002</v>
      </c>
      <c r="G2" t="s">
        <v>106</v>
      </c>
      <c r="K2" s="1">
        <f>E2-29990.7</f>
        <v>-329691.10000000003</v>
      </c>
      <c r="L2" s="42"/>
      <c r="M2" s="1"/>
    </row>
    <row r="3" spans="1:13" x14ac:dyDescent="0.25">
      <c r="B3" t="s">
        <v>55</v>
      </c>
      <c r="C3" t="s">
        <v>60</v>
      </c>
      <c r="D3" s="68">
        <v>83000</v>
      </c>
      <c r="E3" s="43">
        <v>-66184.19</v>
      </c>
      <c r="G3" s="44" t="s">
        <v>117</v>
      </c>
      <c r="K3" s="1">
        <f>E3-6915.94</f>
        <v>-73100.13</v>
      </c>
      <c r="M3" s="1"/>
    </row>
    <row r="4" spans="1:13" x14ac:dyDescent="0.25">
      <c r="B4" t="s">
        <v>56</v>
      </c>
      <c r="C4" t="s">
        <v>59</v>
      </c>
      <c r="D4" s="1">
        <v>14000</v>
      </c>
      <c r="E4" s="1">
        <v>7604.35</v>
      </c>
      <c r="F4" s="1">
        <f t="shared" ref="F2:F5" si="0">D4-E4</f>
        <v>6395.65</v>
      </c>
      <c r="K4" s="1"/>
      <c r="L4" s="1">
        <f>E4+1086.15+1086.15</f>
        <v>9776.65</v>
      </c>
      <c r="M4" s="1">
        <f>D4-L4</f>
        <v>4223.3500000000004</v>
      </c>
    </row>
    <row r="5" spans="1:13" x14ac:dyDescent="0.25">
      <c r="B5" t="s">
        <v>57</v>
      </c>
      <c r="C5" t="s">
        <v>58</v>
      </c>
      <c r="D5" s="1">
        <v>440000</v>
      </c>
      <c r="E5" s="1">
        <v>394053.2</v>
      </c>
      <c r="F5" s="1">
        <f t="shared" si="0"/>
        <v>45946.799999999988</v>
      </c>
      <c r="K5" s="1"/>
      <c r="L5" s="1">
        <f>E5+39554.11+703.66</f>
        <v>434310.97</v>
      </c>
      <c r="M5" s="1">
        <f>D5-L5</f>
        <v>5689.0300000000279</v>
      </c>
    </row>
    <row r="6" spans="1:13" x14ac:dyDescent="0.25">
      <c r="C6" t="s">
        <v>36</v>
      </c>
      <c r="D6" s="1">
        <f>SUM(D2:D5)</f>
        <v>897000</v>
      </c>
      <c r="E6" s="1">
        <f>SUM(E2:E5)</f>
        <v>35772.959999999963</v>
      </c>
      <c r="F6" s="1">
        <f>SUM(F2:F5)</f>
        <v>52342.44999999999</v>
      </c>
      <c r="K6" s="1">
        <f>SUM(K2:K5)</f>
        <v>-402791.23000000004</v>
      </c>
      <c r="L6" s="1">
        <f>SUM(L4:L5)</f>
        <v>444087.62</v>
      </c>
    </row>
    <row r="7" spans="1:13" x14ac:dyDescent="0.25">
      <c r="K7" s="1"/>
    </row>
    <row r="8" spans="1:13" x14ac:dyDescent="0.25">
      <c r="K8" s="1"/>
    </row>
    <row r="9" spans="1:13" x14ac:dyDescent="0.25">
      <c r="K9" s="1"/>
    </row>
    <row r="10" spans="1:13" x14ac:dyDescent="0.25">
      <c r="E10" s="46" t="s">
        <v>73</v>
      </c>
      <c r="F10" s="46"/>
      <c r="L10">
        <v>444087.62</v>
      </c>
    </row>
    <row r="11" spans="1:13" x14ac:dyDescent="0.25">
      <c r="A11" s="47" t="s">
        <v>72</v>
      </c>
      <c r="B11" t="s">
        <v>63</v>
      </c>
      <c r="C11" s="11">
        <v>1588</v>
      </c>
      <c r="D11" s="1">
        <v>16.05</v>
      </c>
      <c r="E11" s="46">
        <f>(C11*D11)*12</f>
        <v>305848.80000000005</v>
      </c>
      <c r="F11" s="46"/>
      <c r="G11" s="5"/>
      <c r="K11" s="1"/>
    </row>
    <row r="12" spans="1:13" x14ac:dyDescent="0.25">
      <c r="A12" s="47"/>
      <c r="B12" t="s">
        <v>64</v>
      </c>
      <c r="C12" s="11">
        <v>693</v>
      </c>
      <c r="D12" s="1">
        <v>6.09</v>
      </c>
      <c r="E12" s="46">
        <f t="shared" ref="E12:E17" si="1">(C12*D12)*12</f>
        <v>50644.44</v>
      </c>
      <c r="F12" s="46"/>
      <c r="G12" s="5"/>
    </row>
    <row r="13" spans="1:13" x14ac:dyDescent="0.25">
      <c r="A13" s="47"/>
      <c r="B13" t="s">
        <v>65</v>
      </c>
      <c r="C13" s="11">
        <v>23</v>
      </c>
      <c r="D13" s="1">
        <v>6.09</v>
      </c>
      <c r="E13" s="46">
        <f t="shared" si="1"/>
        <v>1680.84</v>
      </c>
      <c r="F13" s="46"/>
      <c r="G13" s="5"/>
    </row>
    <row r="14" spans="1:13" x14ac:dyDescent="0.25">
      <c r="A14" s="47"/>
      <c r="B14" t="s">
        <v>66</v>
      </c>
      <c r="C14" s="11">
        <v>3</v>
      </c>
      <c r="D14" s="1">
        <v>6.09</v>
      </c>
      <c r="E14" s="46">
        <f t="shared" si="1"/>
        <v>219.24</v>
      </c>
      <c r="F14" s="46"/>
      <c r="G14" s="5"/>
    </row>
    <row r="15" spans="1:13" x14ac:dyDescent="0.25">
      <c r="A15" s="47"/>
      <c r="B15" t="s">
        <v>67</v>
      </c>
      <c r="C15" s="11">
        <v>1</v>
      </c>
      <c r="D15" s="1">
        <v>6.09</v>
      </c>
      <c r="E15" s="46">
        <f t="shared" si="1"/>
        <v>73.08</v>
      </c>
      <c r="F15" s="46"/>
      <c r="G15" s="5"/>
    </row>
    <row r="16" spans="1:13" x14ac:dyDescent="0.25">
      <c r="A16" s="47" t="s">
        <v>68</v>
      </c>
      <c r="B16" t="s">
        <v>69</v>
      </c>
      <c r="C16" s="11">
        <v>1588</v>
      </c>
      <c r="D16" s="1">
        <v>4.45</v>
      </c>
      <c r="E16" s="46">
        <f t="shared" si="1"/>
        <v>84799.200000000012</v>
      </c>
      <c r="F16" s="46"/>
      <c r="G16" s="5"/>
    </row>
    <row r="17" spans="1:7" x14ac:dyDescent="0.25">
      <c r="A17" s="47"/>
      <c r="B17" t="s">
        <v>64</v>
      </c>
      <c r="C17" s="11">
        <v>43</v>
      </c>
      <c r="D17" s="1">
        <v>4.45</v>
      </c>
      <c r="E17" s="46">
        <f t="shared" si="1"/>
        <v>2296.1999999999998</v>
      </c>
      <c r="F17" s="46"/>
      <c r="G17" s="5"/>
    </row>
    <row r="19" spans="1:7" x14ac:dyDescent="0.25">
      <c r="E19" s="46">
        <f>SUM(E11:F18)</f>
        <v>445561.8000000001</v>
      </c>
      <c r="F19" s="46"/>
    </row>
    <row r="22" spans="1:7" x14ac:dyDescent="0.25">
      <c r="A22" s="57" t="s">
        <v>89</v>
      </c>
      <c r="B22" s="57"/>
      <c r="C22" s="33" t="s">
        <v>93</v>
      </c>
      <c r="D22" s="34" t="s">
        <v>94</v>
      </c>
      <c r="E22" s="34" t="s">
        <v>96</v>
      </c>
    </row>
    <row r="23" spans="1:7" x14ac:dyDescent="0.25">
      <c r="A23" s="35"/>
      <c r="B23" s="35" t="s">
        <v>92</v>
      </c>
      <c r="C23" s="40" t="s">
        <v>91</v>
      </c>
      <c r="D23" s="36">
        <v>39699.300000000003</v>
      </c>
      <c r="E23" s="36">
        <f>D23*12</f>
        <v>476391.60000000003</v>
      </c>
    </row>
    <row r="24" spans="1:7" x14ac:dyDescent="0.25">
      <c r="A24" s="35"/>
      <c r="B24" s="35" t="s">
        <v>102</v>
      </c>
      <c r="C24" s="41" t="s">
        <v>91</v>
      </c>
      <c r="D24" s="36">
        <v>1090.7</v>
      </c>
      <c r="E24" s="36">
        <f>D24*12</f>
        <v>13088.400000000001</v>
      </c>
    </row>
    <row r="25" spans="1:7" x14ac:dyDescent="0.25">
      <c r="A25" s="35"/>
      <c r="B25" s="35"/>
      <c r="C25" s="41"/>
      <c r="D25" s="36"/>
      <c r="E25" s="36"/>
    </row>
    <row r="26" spans="1:7" x14ac:dyDescent="0.25">
      <c r="A26" s="35"/>
      <c r="B26" s="35"/>
      <c r="C26" s="41"/>
      <c r="D26" s="36"/>
      <c r="E26" s="36"/>
    </row>
    <row r="27" spans="1:7" x14ac:dyDescent="0.25">
      <c r="A27" s="35"/>
      <c r="B27" s="35"/>
      <c r="C27" s="41"/>
      <c r="D27" s="36"/>
      <c r="E27" s="36"/>
    </row>
    <row r="28" spans="1:7" x14ac:dyDescent="0.25">
      <c r="A28" s="35"/>
      <c r="B28" s="35"/>
      <c r="C28" s="41"/>
      <c r="D28" s="36"/>
      <c r="E28" s="36"/>
    </row>
    <row r="29" spans="1:7" x14ac:dyDescent="0.25">
      <c r="A29" s="35"/>
      <c r="B29" s="35"/>
      <c r="C29" s="41"/>
      <c r="D29" s="36"/>
      <c r="E29" s="36"/>
    </row>
    <row r="30" spans="1:7" x14ac:dyDescent="0.25">
      <c r="A30" s="35"/>
      <c r="B30" s="35"/>
      <c r="C30" s="41"/>
      <c r="D30" s="36"/>
      <c r="E30" s="36"/>
    </row>
    <row r="31" spans="1:7" x14ac:dyDescent="0.25">
      <c r="A31" s="35"/>
      <c r="B31" s="35"/>
      <c r="C31" s="41"/>
      <c r="D31" s="36"/>
      <c r="E31" s="36"/>
    </row>
    <row r="32" spans="1:7" x14ac:dyDescent="0.25">
      <c r="A32" s="54" t="s">
        <v>75</v>
      </c>
      <c r="B32" s="55"/>
      <c r="C32" s="56"/>
      <c r="D32" s="36">
        <f>SUM(D23:D31)</f>
        <v>40790</v>
      </c>
      <c r="E32" s="36">
        <f>SUM(E23:E31)</f>
        <v>489480.00000000006</v>
      </c>
    </row>
  </sheetData>
  <mergeCells count="13">
    <mergeCell ref="E10:F10"/>
    <mergeCell ref="E17:F17"/>
    <mergeCell ref="E16:F16"/>
    <mergeCell ref="E15:F15"/>
    <mergeCell ref="E14:F14"/>
    <mergeCell ref="E13:F13"/>
    <mergeCell ref="E12:F12"/>
    <mergeCell ref="E11:F11"/>
    <mergeCell ref="A22:B22"/>
    <mergeCell ref="A32:C32"/>
    <mergeCell ref="E19:F19"/>
    <mergeCell ref="A11:A15"/>
    <mergeCell ref="A16:A17"/>
  </mergeCells>
  <conditionalFormatting sqref="F1:F5 F7:F9 F18 F20:F1048576">
    <cfRule type="cellIs" dxfId="95" priority="3" operator="greaterThan">
      <formula>0</formula>
    </cfRule>
    <cfRule type="cellIs" dxfId="94" priority="4" operator="lessThan">
      <formula>0</formula>
    </cfRule>
  </conditionalFormatting>
  <conditionalFormatting sqref="M4:M5">
    <cfRule type="cellIs" dxfId="93" priority="1" operator="lessThan">
      <formula>0</formula>
    </cfRule>
    <cfRule type="cellIs" dxfId="92" priority="2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72185-A572-400C-B1BA-F21D3A0E150E}">
  <dimension ref="A1:I25"/>
  <sheetViews>
    <sheetView workbookViewId="0">
      <selection activeCell="B39" sqref="B39"/>
    </sheetView>
  </sheetViews>
  <sheetFormatPr defaultRowHeight="15" x14ac:dyDescent="0.25"/>
  <cols>
    <col min="2" max="2" width="32" bestFit="1" customWidth="1"/>
    <col min="3" max="3" width="12.7109375" style="1" bestFit="1" customWidth="1"/>
    <col min="4" max="4" width="15.7109375" style="1" bestFit="1" customWidth="1"/>
    <col min="5" max="5" width="11.7109375" style="1" bestFit="1" customWidth="1"/>
    <col min="6" max="6" width="28.85546875" bestFit="1" customWidth="1"/>
    <col min="8" max="8" width="15.42578125" customWidth="1"/>
    <col min="9" max="9" width="12.7109375" bestFit="1" customWidth="1"/>
  </cols>
  <sheetData>
    <row r="1" spans="1:9" x14ac:dyDescent="0.25">
      <c r="A1" s="3" t="s">
        <v>16</v>
      </c>
      <c r="B1" s="3" t="s">
        <v>17</v>
      </c>
      <c r="C1" s="4" t="s">
        <v>18</v>
      </c>
      <c r="D1" s="4" t="s">
        <v>19</v>
      </c>
      <c r="E1" s="4" t="s">
        <v>35</v>
      </c>
      <c r="F1" s="3" t="s">
        <v>24</v>
      </c>
      <c r="H1" s="4" t="s">
        <v>118</v>
      </c>
    </row>
    <row r="2" spans="1:9" x14ac:dyDescent="0.25">
      <c r="A2" t="s">
        <v>39</v>
      </c>
      <c r="B2" t="s">
        <v>26</v>
      </c>
      <c r="C2" s="1">
        <v>55270</v>
      </c>
      <c r="D2" s="1">
        <v>50771.57</v>
      </c>
      <c r="E2" s="1">
        <f t="shared" ref="E2:E7" si="0">C2-D2</f>
        <v>4498.43</v>
      </c>
      <c r="H2" s="1">
        <f>D2+5544</f>
        <v>56315.57</v>
      </c>
      <c r="I2" s="1">
        <f>C2-H2</f>
        <v>-1045.5699999999997</v>
      </c>
    </row>
    <row r="3" spans="1:9" x14ac:dyDescent="0.25">
      <c r="A3" t="s">
        <v>40</v>
      </c>
      <c r="B3" t="s">
        <v>25</v>
      </c>
      <c r="C3" s="1">
        <v>41087</v>
      </c>
      <c r="D3" s="1">
        <v>27710.080000000002</v>
      </c>
      <c r="E3" s="1">
        <f t="shared" si="0"/>
        <v>13376.919999999998</v>
      </c>
      <c r="H3" s="1">
        <f>D3+3121.29</f>
        <v>30831.370000000003</v>
      </c>
      <c r="I3" s="1">
        <f t="shared" ref="I3:I8" si="1">C3-H3</f>
        <v>10255.629999999997</v>
      </c>
    </row>
    <row r="4" spans="1:9" x14ac:dyDescent="0.25">
      <c r="A4" t="s">
        <v>41</v>
      </c>
      <c r="B4" t="s">
        <v>42</v>
      </c>
      <c r="C4" s="1">
        <v>14000</v>
      </c>
      <c r="D4" s="1">
        <v>8380.5499999999993</v>
      </c>
      <c r="E4" s="1">
        <f t="shared" si="0"/>
        <v>5619.4500000000007</v>
      </c>
      <c r="H4" s="1">
        <f>D4+(2946.55*5)</f>
        <v>23113.3</v>
      </c>
      <c r="I4" s="1">
        <f t="shared" si="1"/>
        <v>-9113.2999999999993</v>
      </c>
    </row>
    <row r="5" spans="1:9" x14ac:dyDescent="0.25">
      <c r="A5" t="s">
        <v>43</v>
      </c>
      <c r="B5" t="s">
        <v>44</v>
      </c>
      <c r="C5" s="1">
        <v>3699</v>
      </c>
      <c r="D5" s="1">
        <v>3080</v>
      </c>
      <c r="E5" s="1">
        <f t="shared" si="0"/>
        <v>619</v>
      </c>
      <c r="H5" s="1">
        <f>D5+308+308</f>
        <v>3696</v>
      </c>
      <c r="I5" s="1">
        <f t="shared" si="1"/>
        <v>3</v>
      </c>
    </row>
    <row r="6" spans="1:9" x14ac:dyDescent="0.25">
      <c r="A6" t="s">
        <v>45</v>
      </c>
      <c r="B6" t="s">
        <v>46</v>
      </c>
      <c r="C6" s="1">
        <v>60000</v>
      </c>
      <c r="D6" s="1">
        <v>44008.2</v>
      </c>
      <c r="E6" s="1">
        <f t="shared" si="0"/>
        <v>15991.800000000003</v>
      </c>
      <c r="H6" s="1">
        <f>D6+(5082.45+95.55+120)</f>
        <v>49306.2</v>
      </c>
      <c r="I6" s="1">
        <f t="shared" si="1"/>
        <v>10693.800000000003</v>
      </c>
    </row>
    <row r="7" spans="1:9" x14ac:dyDescent="0.25">
      <c r="A7" t="s">
        <v>47</v>
      </c>
      <c r="B7" t="s">
        <v>48</v>
      </c>
      <c r="C7" s="1">
        <v>1021000</v>
      </c>
      <c r="D7" s="1">
        <v>71868.27</v>
      </c>
      <c r="E7" s="1">
        <f t="shared" si="0"/>
        <v>949131.73</v>
      </c>
      <c r="H7" s="1">
        <f>D7+4000</f>
        <v>75868.27</v>
      </c>
      <c r="I7" s="1">
        <f t="shared" si="1"/>
        <v>945131.73</v>
      </c>
    </row>
    <row r="8" spans="1:9" x14ac:dyDescent="0.25">
      <c r="A8" t="s">
        <v>49</v>
      </c>
      <c r="B8" t="s">
        <v>34</v>
      </c>
      <c r="C8" s="1">
        <v>36000</v>
      </c>
      <c r="D8" s="1">
        <v>30000</v>
      </c>
      <c r="E8" s="1">
        <f>C8-D8</f>
        <v>6000</v>
      </c>
      <c r="H8" s="1">
        <f>D8+3000+3000</f>
        <v>36000</v>
      </c>
      <c r="I8" s="1">
        <f t="shared" si="1"/>
        <v>0</v>
      </c>
    </row>
    <row r="9" spans="1:9" x14ac:dyDescent="0.25">
      <c r="B9" t="s">
        <v>36</v>
      </c>
      <c r="C9" s="1">
        <f>SUM(C2:C8)</f>
        <v>1231056</v>
      </c>
      <c r="D9" s="1">
        <f t="shared" ref="D9:E9" si="2">SUM(D2:D8)</f>
        <v>235818.66999999998</v>
      </c>
      <c r="E9" s="1">
        <f t="shared" si="2"/>
        <v>995237.33</v>
      </c>
    </row>
    <row r="14" spans="1:9" x14ac:dyDescent="0.25">
      <c r="A14" s="57" t="s">
        <v>89</v>
      </c>
      <c r="B14" s="57"/>
      <c r="C14" s="33" t="s">
        <v>93</v>
      </c>
      <c r="D14" s="34" t="s">
        <v>94</v>
      </c>
      <c r="E14" s="34" t="s">
        <v>96</v>
      </c>
    </row>
    <row r="15" spans="1:9" x14ac:dyDescent="0.25">
      <c r="A15" s="35"/>
      <c r="B15" s="35" t="s">
        <v>102</v>
      </c>
      <c r="C15" s="36" t="s">
        <v>91</v>
      </c>
      <c r="D15" s="36">
        <v>1090.7</v>
      </c>
      <c r="E15" s="36">
        <f>D15*12</f>
        <v>13088.400000000001</v>
      </c>
    </row>
    <row r="16" spans="1:9" x14ac:dyDescent="0.25">
      <c r="A16" s="35"/>
      <c r="B16" s="35" t="s">
        <v>107</v>
      </c>
      <c r="C16" s="36" t="s">
        <v>91</v>
      </c>
      <c r="D16" s="36">
        <v>308</v>
      </c>
      <c r="E16" s="36">
        <f>D16*12</f>
        <v>3696</v>
      </c>
    </row>
    <row r="17" spans="1:6" x14ac:dyDescent="0.25">
      <c r="A17" s="35"/>
      <c r="B17" s="35" t="s">
        <v>108</v>
      </c>
      <c r="C17" s="36" t="s">
        <v>90</v>
      </c>
      <c r="D17" s="36">
        <v>262.95999999999998</v>
      </c>
      <c r="E17" s="36">
        <f>D17*4</f>
        <v>1051.8399999999999</v>
      </c>
      <c r="F17" t="s">
        <v>112</v>
      </c>
    </row>
    <row r="18" spans="1:6" x14ac:dyDescent="0.25">
      <c r="A18" s="35"/>
      <c r="B18" s="35" t="s">
        <v>109</v>
      </c>
      <c r="C18" s="36" t="s">
        <v>96</v>
      </c>
      <c r="D18" s="36">
        <v>235</v>
      </c>
      <c r="E18" s="36">
        <v>235</v>
      </c>
    </row>
    <row r="19" spans="1:6" x14ac:dyDescent="0.25">
      <c r="A19" s="35"/>
      <c r="B19" s="35" t="s">
        <v>110</v>
      </c>
      <c r="C19" s="36" t="s">
        <v>91</v>
      </c>
      <c r="D19" s="36">
        <v>120</v>
      </c>
      <c r="E19" s="36">
        <f>D19*12</f>
        <v>1440</v>
      </c>
      <c r="F19" t="s">
        <v>112</v>
      </c>
    </row>
    <row r="20" spans="1:6" x14ac:dyDescent="0.25">
      <c r="A20" s="35"/>
      <c r="B20" s="35" t="s">
        <v>111</v>
      </c>
      <c r="C20" s="36" t="s">
        <v>91</v>
      </c>
      <c r="D20" s="36">
        <v>100</v>
      </c>
      <c r="E20" s="36">
        <f>D20*12</f>
        <v>1200</v>
      </c>
      <c r="F20" t="s">
        <v>112</v>
      </c>
    </row>
    <row r="21" spans="1:6" x14ac:dyDescent="0.25">
      <c r="A21" s="35"/>
      <c r="B21" s="35" t="s">
        <v>113</v>
      </c>
      <c r="C21" s="63" t="s">
        <v>91</v>
      </c>
      <c r="D21" s="61">
        <v>7186.83</v>
      </c>
      <c r="E21" s="61">
        <f>D21*12</f>
        <v>86241.959999999992</v>
      </c>
      <c r="F21" s="65" t="s">
        <v>112</v>
      </c>
    </row>
    <row r="22" spans="1:6" x14ac:dyDescent="0.25">
      <c r="A22" s="35"/>
      <c r="B22" s="45" t="s">
        <v>114</v>
      </c>
      <c r="C22" s="64"/>
      <c r="D22" s="62"/>
      <c r="E22" s="62"/>
      <c r="F22" s="65"/>
    </row>
    <row r="23" spans="1:6" x14ac:dyDescent="0.25">
      <c r="A23" s="35"/>
      <c r="B23" s="35" t="s">
        <v>115</v>
      </c>
      <c r="C23" s="36" t="s">
        <v>91</v>
      </c>
      <c r="D23" s="36">
        <v>3000</v>
      </c>
      <c r="E23" s="36">
        <f>D23*12</f>
        <v>36000</v>
      </c>
    </row>
    <row r="24" spans="1:6" x14ac:dyDescent="0.25">
      <c r="A24" s="58" t="s">
        <v>75</v>
      </c>
      <c r="B24" s="59"/>
      <c r="C24" s="60"/>
      <c r="D24" s="36">
        <f>SUM(D15:D23)</f>
        <v>12303.49</v>
      </c>
      <c r="E24" s="36">
        <f>SUM(E15:E23)</f>
        <v>142953.20000000001</v>
      </c>
    </row>
    <row r="25" spans="1:6" x14ac:dyDescent="0.25">
      <c r="B25" s="37" t="s">
        <v>97</v>
      </c>
    </row>
  </sheetData>
  <mergeCells count="6">
    <mergeCell ref="F21:F22"/>
    <mergeCell ref="A14:B14"/>
    <mergeCell ref="A24:C24"/>
    <mergeCell ref="E21:E22"/>
    <mergeCell ref="D21:D22"/>
    <mergeCell ref="C21:C22"/>
  </mergeCells>
  <conditionalFormatting sqref="E1:E8 E10:E13 E25:E1048576">
    <cfRule type="cellIs" dxfId="91" priority="3" operator="greaterThan">
      <formula>0</formula>
    </cfRule>
    <cfRule type="cellIs" dxfId="90" priority="4" operator="lessThan">
      <formula>0</formula>
    </cfRule>
  </conditionalFormatting>
  <conditionalFormatting sqref="I2:I8">
    <cfRule type="cellIs" dxfId="89" priority="1" operator="lessThan">
      <formula>0</formula>
    </cfRule>
    <cfRule type="cellIs" dxfId="88" priority="2" operator="greater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CE2F0-5543-4BD5-B999-D7068DC14628}">
  <dimension ref="A1:N21"/>
  <sheetViews>
    <sheetView workbookViewId="0">
      <selection activeCell="N6" sqref="N6"/>
    </sheetView>
  </sheetViews>
  <sheetFormatPr defaultRowHeight="15" x14ac:dyDescent="0.25"/>
  <cols>
    <col min="2" max="2" width="32" bestFit="1" customWidth="1"/>
    <col min="3" max="3" width="12.7109375" style="1" bestFit="1" customWidth="1"/>
    <col min="4" max="4" width="15.7109375" style="1" bestFit="1" customWidth="1"/>
    <col min="5" max="5" width="11.7109375" style="1" bestFit="1" customWidth="1"/>
    <col min="6" max="6" width="28.85546875" bestFit="1" customWidth="1"/>
    <col min="9" max="9" width="10.140625" bestFit="1" customWidth="1"/>
    <col min="13" max="13" width="10.140625" bestFit="1" customWidth="1"/>
    <col min="14" max="14" width="9.85546875" bestFit="1" customWidth="1"/>
  </cols>
  <sheetData>
    <row r="1" spans="1:14" x14ac:dyDescent="0.25">
      <c r="A1" s="3" t="s">
        <v>16</v>
      </c>
      <c r="B1" s="3" t="s">
        <v>17</v>
      </c>
      <c r="C1" s="4" t="s">
        <v>18</v>
      </c>
      <c r="D1" s="4" t="s">
        <v>19</v>
      </c>
      <c r="E1" s="4" t="s">
        <v>35</v>
      </c>
      <c r="F1" s="3" t="s">
        <v>24</v>
      </c>
      <c r="H1" s="66" t="s">
        <v>98</v>
      </c>
      <c r="I1" s="66"/>
      <c r="J1" s="66"/>
      <c r="K1" s="66"/>
      <c r="M1" s="4" t="s">
        <v>118</v>
      </c>
    </row>
    <row r="2" spans="1:14" x14ac:dyDescent="0.25">
      <c r="A2" t="s">
        <v>50</v>
      </c>
      <c r="B2" t="s">
        <v>51</v>
      </c>
      <c r="C2" s="1">
        <v>10000</v>
      </c>
      <c r="D2" s="1">
        <v>6446.83</v>
      </c>
      <c r="E2" s="1">
        <f t="shared" ref="E2:E3" si="0">C2-D2</f>
        <v>3553.17</v>
      </c>
      <c r="I2" s="1">
        <v>1687.81</v>
      </c>
      <c r="M2" s="1">
        <f>D2+2000</f>
        <v>8446.83</v>
      </c>
      <c r="N2" s="1">
        <f>C2-M2</f>
        <v>1553.17</v>
      </c>
    </row>
    <row r="3" spans="1:14" x14ac:dyDescent="0.25">
      <c r="A3" t="s">
        <v>52</v>
      </c>
      <c r="B3" t="s">
        <v>53</v>
      </c>
      <c r="C3" s="1">
        <v>10000</v>
      </c>
      <c r="D3" s="1">
        <v>16949.63</v>
      </c>
      <c r="E3" s="1">
        <f t="shared" si="0"/>
        <v>-6949.630000000001</v>
      </c>
      <c r="I3" s="1">
        <v>1687.81</v>
      </c>
      <c r="M3" s="1">
        <f>D3+4.5+1695.2</f>
        <v>18649.330000000002</v>
      </c>
      <c r="N3" s="1">
        <f>C3-M3</f>
        <v>-8649.3300000000017</v>
      </c>
    </row>
    <row r="4" spans="1:14" x14ac:dyDescent="0.25">
      <c r="B4" t="s">
        <v>36</v>
      </c>
      <c r="C4" s="1">
        <f>SUM(C2:C2)</f>
        <v>10000</v>
      </c>
      <c r="D4" s="1">
        <f>SUM(D2:D3)</f>
        <v>23396.46</v>
      </c>
      <c r="E4" s="1">
        <f>SUM(E2:E3)</f>
        <v>-3396.4600000000009</v>
      </c>
      <c r="I4" s="1">
        <v>1666.65</v>
      </c>
    </row>
    <row r="5" spans="1:14" x14ac:dyDescent="0.25">
      <c r="I5" s="1">
        <v>1679.62</v>
      </c>
    </row>
    <row r="6" spans="1:14" x14ac:dyDescent="0.25">
      <c r="I6" s="1">
        <v>1673.44</v>
      </c>
      <c r="J6" s="1">
        <f>AVERAGE(I2:I11)</f>
        <v>1681.6279999999999</v>
      </c>
    </row>
    <row r="7" spans="1:14" x14ac:dyDescent="0.25">
      <c r="I7" s="1">
        <v>1673.44</v>
      </c>
    </row>
    <row r="8" spans="1:14" x14ac:dyDescent="0.25">
      <c r="I8" s="1">
        <v>1678.84</v>
      </c>
    </row>
    <row r="9" spans="1:14" x14ac:dyDescent="0.25">
      <c r="A9" s="53" t="s">
        <v>89</v>
      </c>
      <c r="B9" s="53"/>
      <c r="C9" s="33" t="s">
        <v>93</v>
      </c>
      <c r="D9" s="34" t="s">
        <v>94</v>
      </c>
      <c r="E9" s="34" t="s">
        <v>96</v>
      </c>
      <c r="I9" s="1">
        <v>1683.25</v>
      </c>
    </row>
    <row r="10" spans="1:14" x14ac:dyDescent="0.25">
      <c r="A10" s="35"/>
      <c r="B10" s="35" t="s">
        <v>95</v>
      </c>
      <c r="C10" s="36" t="s">
        <v>91</v>
      </c>
      <c r="D10" s="36">
        <v>1681.63</v>
      </c>
      <c r="E10" s="36">
        <f>D10*12</f>
        <v>20179.560000000001</v>
      </c>
      <c r="I10" s="1">
        <v>1690.22</v>
      </c>
    </row>
    <row r="11" spans="1:14" x14ac:dyDescent="0.25">
      <c r="A11" s="35"/>
      <c r="B11" s="35"/>
      <c r="C11" s="36" t="s">
        <v>91</v>
      </c>
      <c r="D11" s="36">
        <v>14.82</v>
      </c>
      <c r="E11" s="36">
        <f>D11*12</f>
        <v>177.84</v>
      </c>
      <c r="I11" s="1">
        <v>1695.2</v>
      </c>
    </row>
    <row r="12" spans="1:14" x14ac:dyDescent="0.25">
      <c r="A12" s="35"/>
      <c r="B12" s="35"/>
      <c r="C12" s="36"/>
      <c r="D12" s="36"/>
      <c r="E12" s="36"/>
      <c r="I12" s="1">
        <v>4.5</v>
      </c>
    </row>
    <row r="13" spans="1:14" x14ac:dyDescent="0.25">
      <c r="A13" s="35"/>
      <c r="B13" s="35"/>
      <c r="C13" s="36"/>
      <c r="D13" s="36"/>
      <c r="E13" s="36"/>
      <c r="I13" s="1">
        <v>4.54</v>
      </c>
    </row>
    <row r="14" spans="1:14" x14ac:dyDescent="0.25">
      <c r="A14" s="35"/>
      <c r="B14" s="35"/>
      <c r="C14" s="36"/>
      <c r="D14" s="36"/>
      <c r="E14" s="36"/>
      <c r="I14" s="1">
        <v>4.54</v>
      </c>
    </row>
    <row r="15" spans="1:14" x14ac:dyDescent="0.25">
      <c r="A15" s="54" t="s">
        <v>75</v>
      </c>
      <c r="B15" s="55"/>
      <c r="C15" s="56"/>
      <c r="D15" s="36">
        <f>SUM(D10:D14)</f>
        <v>1696.45</v>
      </c>
      <c r="E15" s="36">
        <f>SUM(E10:E14)</f>
        <v>20357.400000000001</v>
      </c>
      <c r="I15" s="1">
        <v>4.54</v>
      </c>
      <c r="J15" s="1">
        <f>AVERAGE(I12:I20)</f>
        <v>14.816666666666666</v>
      </c>
    </row>
    <row r="16" spans="1:14" x14ac:dyDescent="0.25">
      <c r="B16" s="37" t="s">
        <v>97</v>
      </c>
      <c r="I16" s="1">
        <v>4.5</v>
      </c>
    </row>
    <row r="17" spans="9:9" x14ac:dyDescent="0.25">
      <c r="I17" s="1">
        <v>97.41</v>
      </c>
    </row>
    <row r="18" spans="9:9" x14ac:dyDescent="0.25">
      <c r="I18" s="1">
        <v>4.4400000000000004</v>
      </c>
    </row>
    <row r="19" spans="9:9" x14ac:dyDescent="0.25">
      <c r="I19" s="1">
        <v>4.4400000000000004</v>
      </c>
    </row>
    <row r="20" spans="9:9" x14ac:dyDescent="0.25">
      <c r="I20" s="1">
        <v>4.4400000000000004</v>
      </c>
    </row>
    <row r="21" spans="9:9" x14ac:dyDescent="0.25">
      <c r="I21" s="1">
        <f>SUM(I2:I20)</f>
        <v>16949.629999999997</v>
      </c>
    </row>
  </sheetData>
  <mergeCells count="3">
    <mergeCell ref="A9:B9"/>
    <mergeCell ref="H1:K1"/>
    <mergeCell ref="A15:C15"/>
  </mergeCells>
  <conditionalFormatting sqref="E5:E8 E1:E3 E16:E1048576">
    <cfRule type="cellIs" dxfId="87" priority="4" operator="greaterThan">
      <formula>0</formula>
    </cfRule>
    <cfRule type="cellIs" dxfId="86" priority="5" operator="lessThan">
      <formula>0</formula>
    </cfRule>
  </conditionalFormatting>
  <conditionalFormatting sqref="E4">
    <cfRule type="cellIs" dxfId="85" priority="3" operator="lessThan">
      <formula>0</formula>
    </cfRule>
  </conditionalFormatting>
  <conditionalFormatting sqref="N2:N3">
    <cfRule type="cellIs" dxfId="84" priority="1" operator="lessThan">
      <formula>0</formula>
    </cfRule>
    <cfRule type="cellIs" dxfId="83" priority="2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</vt:lpstr>
      <vt:lpstr>Sewer</vt:lpstr>
      <vt:lpstr>Garbage</vt:lpstr>
      <vt:lpstr>Storm Water</vt:lpstr>
      <vt:lpstr>StreetLights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Jill Hunt</cp:lastModifiedBy>
  <dcterms:created xsi:type="dcterms:W3CDTF">2022-05-24T17:33:45Z</dcterms:created>
  <dcterms:modified xsi:type="dcterms:W3CDTF">2022-06-07T14:53:13Z</dcterms:modified>
</cp:coreProperties>
</file>